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555" tabRatio="784" firstSheet="1" activeTab="1"/>
  </bookViews>
  <sheets>
    <sheet name="租赁型承诺 (2)" sheetId="1" state="hidden" r:id="rId1"/>
    <sheet name="Sheet1" sheetId="3" r:id="rId2"/>
  </sheets>
  <definedNames>
    <definedName name="_xlnm._FilterDatabase" localSheetId="0" hidden="1">'租赁型承诺 (2)'!$A$3:$AD$172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O4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9月起季度租金22079
</t>
        </r>
      </text>
    </comment>
    <comment ref="O50" authorId="0">
      <text>
        <r>
          <rPr>
            <b/>
            <sz val="9"/>
            <rFont val="宋体"/>
            <charset val="134"/>
          </rPr>
          <t>刘娟</t>
        </r>
        <r>
          <rPr>
            <b/>
            <sz val="9"/>
            <rFont val="Tahoma"/>
            <charset val="134"/>
          </rPr>
          <t>:     2019.1.9-2020.1.8  28602.7/</t>
        </r>
        <r>
          <rPr>
            <b/>
            <sz val="9"/>
            <rFont val="宋体"/>
            <charset val="134"/>
          </rPr>
          <t>月</t>
        </r>
      </text>
    </comment>
    <comment ref="O53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2019.8.1-2020.7.31 7916.67/</t>
        </r>
        <r>
          <rPr>
            <sz val="9"/>
            <rFont val="宋体"/>
            <charset val="134"/>
          </rPr>
          <t>月</t>
        </r>
      </text>
    </comment>
    <comment ref="O54" authorId="0">
      <text>
        <r>
          <rPr>
            <b/>
            <sz val="9"/>
            <rFont val="宋体"/>
            <charset val="134"/>
          </rPr>
          <t>作者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2018.7.10-2019.7.9 6737/</t>
        </r>
        <r>
          <rPr>
            <sz val="9"/>
            <rFont val="宋体"/>
            <charset val="134"/>
          </rPr>
          <t>月、</t>
        </r>
        <r>
          <rPr>
            <sz val="9"/>
            <rFont val="Tahoma"/>
            <charset val="134"/>
          </rPr>
          <t>2019.7.10-2022.7.7 7141/</t>
        </r>
        <r>
          <rPr>
            <sz val="9"/>
            <rFont val="宋体"/>
            <charset val="134"/>
          </rPr>
          <t>月</t>
        </r>
      </text>
    </comment>
    <comment ref="O57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2019.1.9--2020.1.8  28602.7/</t>
        </r>
        <r>
          <rPr>
            <sz val="9"/>
            <rFont val="宋体"/>
            <charset val="134"/>
          </rPr>
          <t>月</t>
        </r>
      </text>
    </comment>
    <comment ref="O61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2019.1.1--2019.12.31 7746.75/</t>
        </r>
        <r>
          <rPr>
            <sz val="9"/>
            <rFont val="宋体"/>
            <charset val="134"/>
          </rPr>
          <t>月、</t>
        </r>
        <r>
          <rPr>
            <sz val="9"/>
            <rFont val="Tahoma"/>
            <charset val="134"/>
          </rPr>
          <t>2020.1.1-2020.12.31 8134/</t>
        </r>
        <r>
          <rPr>
            <sz val="9"/>
            <rFont val="宋体"/>
            <charset val="134"/>
          </rPr>
          <t>月</t>
        </r>
        <r>
          <rPr>
            <sz val="9"/>
            <rFont val="Tahoma"/>
            <charset val="134"/>
          </rPr>
          <t xml:space="preserve"> </t>
        </r>
        <r>
          <rPr>
            <sz val="9"/>
            <rFont val="宋体"/>
            <charset val="134"/>
          </rPr>
          <t>、</t>
        </r>
        <r>
          <rPr>
            <sz val="9"/>
            <rFont val="Tahoma"/>
            <charset val="134"/>
          </rPr>
          <t>2021.1.1-2021.12.31 8540.67/</t>
        </r>
        <r>
          <rPr>
            <sz val="9"/>
            <rFont val="宋体"/>
            <charset val="134"/>
          </rPr>
          <t>月</t>
        </r>
        <r>
          <rPr>
            <sz val="9"/>
            <rFont val="Tahoma"/>
            <charset val="134"/>
          </rPr>
          <t xml:space="preserve"> </t>
        </r>
      </text>
    </comment>
    <comment ref="O62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2020.1.25--2021.1.24 13515/</t>
        </r>
        <r>
          <rPr>
            <sz val="9"/>
            <rFont val="宋体"/>
            <charset val="134"/>
          </rPr>
          <t>月</t>
        </r>
      </text>
    </comment>
    <comment ref="Q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按合同每月租金乘以9个月计算，含增值税</t>
        </r>
      </text>
    </comment>
    <comment ref="X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第4、5年租金为1.89元/平方米·天，含增值税</t>
        </r>
      </text>
    </comment>
    <comment ref="Y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第4、5年租金为1.89元/平方米·天，含增值税</t>
        </r>
      </text>
    </comment>
    <comment ref="O126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2018年1-6月每月租金299192.82元，2018年7月1日至2019年6月30日每月租金314150.84元，2019年7月1日至2020年6月30日每月租金329864.84元，2020年7月1日至2020年6月30日每月租金346354.21元</t>
        </r>
      </text>
    </comment>
    <comment ref="O12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2018.01-06租金29864.41元
2018.07-12租金31357.63元</t>
        </r>
      </text>
    </comment>
    <comment ref="I128" authorId="0">
      <text>
        <r>
          <rPr>
            <sz val="9"/>
            <rFont val="宋体"/>
            <charset val="134"/>
          </rPr>
          <t xml:space="preserve">此日期为最新补充协议日期
</t>
        </r>
      </text>
    </comment>
    <comment ref="R129" authorId="0">
      <text>
        <r>
          <rPr>
            <b/>
            <sz val="9"/>
            <rFont val="宋体"/>
            <charset val="134"/>
          </rPr>
          <t>含2017.12月份租金</t>
        </r>
      </text>
    </comment>
    <comment ref="O13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合同租金为10600，税费1668.52由我司自行承担，最后总报销金额为12268.52。</t>
        </r>
      </text>
    </comment>
    <comment ref="O131" authorId="0">
      <text>
        <r>
          <rPr>
            <b/>
            <sz val="9"/>
            <rFont val="宋体"/>
            <charset val="134"/>
          </rPr>
          <t>2018.01-2018.12每月租金18900元
2019.01-2019.12每月租金19800元
2020.01-2020.12每月租金20700元
2021.01-2021.12每月租金21600元</t>
        </r>
      </text>
    </comment>
    <comment ref="T13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9月房租未核销，预计四季度将产生9-12月4个月的房租费用</t>
        </r>
      </text>
    </comment>
    <comment ref="C135" authorId="0">
      <text>
        <r>
          <rPr>
            <sz val="9"/>
            <rFont val="宋体"/>
            <charset val="134"/>
          </rPr>
          <t>惠州中支3楼职场</t>
        </r>
      </text>
    </comment>
    <comment ref="C136" authorId="0">
      <text>
        <r>
          <rPr>
            <b/>
            <sz val="9"/>
            <rFont val="宋体"/>
            <charset val="134"/>
          </rPr>
          <t>惠州中支8楼职场，报销时与3楼职场租金一起提单</t>
        </r>
      </text>
    </comment>
    <comment ref="R136" authorId="0">
      <text>
        <r>
          <rPr>
            <b/>
            <sz val="9"/>
            <rFont val="宋体"/>
            <charset val="134"/>
          </rPr>
          <t>惠州中支此处职场租金与3楼职场租金合并报销</t>
        </r>
      </text>
    </comment>
    <comment ref="C13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惠东支公司</t>
        </r>
      </text>
    </comment>
    <comment ref="T139" authorId="0">
      <text>
        <r>
          <rPr>
            <b/>
            <sz val="9"/>
            <rFont val="宋体"/>
            <charset val="134"/>
          </rPr>
          <t>2018年租金已全部支付完毕</t>
        </r>
      </text>
    </comment>
    <comment ref="T140" authorId="0">
      <text>
        <r>
          <rPr>
            <b/>
            <sz val="9"/>
            <rFont val="宋体"/>
            <charset val="134"/>
          </rPr>
          <t>2018年租金已支付完毕;2018年一季度租金于2017年12月已预付报销</t>
        </r>
      </text>
    </comment>
    <comment ref="O141" authorId="0">
      <text>
        <r>
          <rPr>
            <b/>
            <sz val="9"/>
            <rFont val="宋体"/>
            <charset val="134"/>
          </rPr>
          <t>合同签订金额4800元为不含税金额，进项税每月为240元，另我司每季度仍需承担各项税金3810.54元</t>
        </r>
      </text>
    </comment>
    <comment ref="O142" authorId="0">
      <text>
        <r>
          <rPr>
            <b/>
            <sz val="9"/>
            <rFont val="宋体"/>
            <charset val="134"/>
          </rPr>
          <t>2018年1-8月租金36086.08元；9-10月租金38972.97元；2018.10月起搬入新职场，租金24089.65元</t>
        </r>
      </text>
    </comment>
    <comment ref="Q14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1-9月珠海中支还在使用旧职场，该金额为旧职场金额</t>
        </r>
      </text>
    </comment>
    <comment ref="T142" authorId="0">
      <text>
        <r>
          <rPr>
            <sz val="9"/>
            <rFont val="宋体"/>
            <charset val="134"/>
          </rPr>
          <t>因10月22日才撤离，因此旧职场还需付10月租金；13067.99为横琴职场分摊的租金</t>
        </r>
      </text>
    </comment>
    <comment ref="C143" authorId="0">
      <text>
        <r>
          <rPr>
            <b/>
            <sz val="9"/>
            <rFont val="宋体"/>
            <charset val="134"/>
          </rPr>
          <t>2018年1-10月横琴支公司与珠海中支共用职场，租赁合同使用同一份，每月与珠海中支按比例分摊租金；2018年11月月珠海中支换新职场，分摊比例暂未明确，费用暂时全列入珠海中支</t>
        </r>
      </text>
    </comment>
    <comment ref="O14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2018年1月-7月租金26995.80元
2018年8月-2019年8月租金 28345.6元
2019年9月-2020年4月租金29762.90元</t>
        </r>
      </text>
    </comment>
    <comment ref="O145" authorId="0">
      <text>
        <r>
          <rPr>
            <b/>
            <sz val="9"/>
            <rFont val="宋体"/>
            <charset val="134"/>
          </rPr>
          <t>2015.12-2018.11租金每月为15000元；2018.12-2020.11租金每月为16500元</t>
        </r>
      </text>
    </comment>
    <comment ref="T145" authorId="0">
      <text>
        <r>
          <rPr>
            <b/>
            <sz val="9"/>
            <rFont val="宋体"/>
            <charset val="134"/>
          </rPr>
          <t>2018.09月租金已预付，尚未核销进入费用科目</t>
        </r>
      </text>
    </comment>
    <comment ref="O146" authorId="0">
      <text>
        <r>
          <rPr>
            <b/>
            <sz val="9"/>
            <rFont val="宋体"/>
            <charset val="134"/>
          </rPr>
          <t>2016.09-2018.12月租金17675元
2019.01-2022.12月租金19442元</t>
        </r>
      </text>
    </comment>
    <comment ref="C148" authorId="0">
      <text>
        <r>
          <rPr>
            <b/>
            <sz val="9"/>
            <rFont val="宋体"/>
            <charset val="134"/>
          </rPr>
          <t>常平支公司</t>
        </r>
      </text>
    </comment>
    <comment ref="R148" authorId="0">
      <text>
        <r>
          <rPr>
            <b/>
            <sz val="9"/>
            <rFont val="宋体"/>
            <charset val="134"/>
          </rPr>
          <t>另有21000元为机构筹备期间租金，已入“开办费-临时职场租赁费”科目</t>
        </r>
      </text>
    </comment>
    <comment ref="C149" authorId="0">
      <text>
        <r>
          <rPr>
            <b/>
            <sz val="9"/>
            <rFont val="宋体"/>
            <charset val="134"/>
          </rPr>
          <t>大朗支公司</t>
        </r>
      </text>
    </comment>
    <comment ref="R149" authorId="0">
      <text>
        <r>
          <rPr>
            <sz val="9"/>
            <rFont val="宋体"/>
            <charset val="134"/>
          </rPr>
          <t>含17年12月租金，另有36400元为机构筹备期间租金，已入“开办费-临时职场租赁费”科目</t>
        </r>
      </text>
    </comment>
    <comment ref="C15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南雄支公司</t>
        </r>
      </text>
    </comment>
    <comment ref="O15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2018年01-07租金2800元
08-12月租金3000元</t>
        </r>
      </text>
    </comment>
    <comment ref="C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开平支公司</t>
        </r>
      </text>
    </comment>
    <comment ref="R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2018年1-7月租金</t>
        </r>
      </text>
    </comment>
    <comment ref="T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2018年8-12月租金</t>
        </r>
      </text>
    </comment>
    <comment ref="C15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新会支公司
</t>
        </r>
      </text>
    </comment>
    <comment ref="R152" authorId="0">
      <text>
        <r>
          <rPr>
            <b/>
            <sz val="9"/>
            <rFont val="宋体"/>
            <charset val="134"/>
          </rPr>
          <t>2018年10-12月租金已预付</t>
        </r>
      </text>
    </comment>
    <comment ref="C15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黄埔支公司</t>
        </r>
      </text>
    </comment>
    <comment ref="Q15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1-3月租金</t>
        </r>
      </text>
    </comment>
    <comment ref="R153" authorId="0">
      <text>
        <r>
          <rPr>
            <b/>
            <sz val="9"/>
            <rFont val="宋体"/>
            <charset val="134"/>
          </rPr>
          <t>含2017年12月租金9769.50元</t>
        </r>
      </text>
    </comment>
    <comment ref="C15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花都支公司</t>
        </r>
      </text>
    </comment>
    <comment ref="Q154" authorId="0">
      <text>
        <r>
          <rPr>
            <b/>
            <sz val="9"/>
            <rFont val="宋体"/>
            <charset val="134"/>
          </rPr>
          <t>2018年4月23日起租</t>
        </r>
      </text>
    </comment>
    <comment ref="R15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2018年5-10月</t>
        </r>
      </text>
    </comment>
    <comment ref="C155" authorId="0">
      <text>
        <r>
          <rPr>
            <b/>
            <sz val="9"/>
            <rFont val="宋体"/>
            <charset val="134"/>
          </rPr>
          <t>禅城支公司</t>
        </r>
      </text>
    </comment>
    <comment ref="O155" authorId="0">
      <text>
        <r>
          <rPr>
            <b/>
            <sz val="9"/>
            <rFont val="宋体"/>
            <charset val="134"/>
          </rPr>
          <t>此单价包括：环境设施费占15%；消费设备、道路维护费占20；物管费占30%；租金占35%</t>
        </r>
        <r>
          <rPr>
            <sz val="9"/>
            <rFont val="宋体"/>
            <charset val="134"/>
          </rPr>
          <t xml:space="preserve">
</t>
        </r>
      </text>
    </comment>
    <comment ref="T155" authorId="0">
      <text>
        <r>
          <rPr>
            <b/>
            <sz val="9"/>
            <rFont val="宋体"/>
            <charset val="134"/>
          </rPr>
          <t>房租占比35%</t>
        </r>
        <r>
          <rPr>
            <sz val="9"/>
            <rFont val="宋体"/>
            <charset val="134"/>
          </rPr>
          <t xml:space="preserve">
</t>
        </r>
      </text>
    </comment>
    <comment ref="C156" authorId="0">
      <text>
        <r>
          <rPr>
            <b/>
            <sz val="9"/>
            <rFont val="宋体"/>
            <charset val="134"/>
          </rPr>
          <t>北滘支公司</t>
        </r>
      </text>
    </comment>
    <comment ref="T156" authorId="0">
      <text>
        <r>
          <rPr>
            <b/>
            <sz val="9"/>
            <rFont val="宋体"/>
            <charset val="134"/>
          </rPr>
          <t>5-12月租金未报销</t>
        </r>
      </text>
    </comment>
    <comment ref="C157" authorId="0">
      <text>
        <r>
          <rPr>
            <b/>
            <sz val="9"/>
            <rFont val="宋体"/>
            <charset val="134"/>
          </rPr>
          <t>容奇支公司</t>
        </r>
      </text>
    </comment>
    <comment ref="C158" authorId="0">
      <text>
        <r>
          <rPr>
            <b/>
            <sz val="9"/>
            <rFont val="宋体"/>
            <charset val="134"/>
          </rPr>
          <t>小榄支公司</t>
        </r>
      </text>
    </comment>
  </commentList>
</comments>
</file>

<file path=xl/sharedStrings.xml><?xml version="1.0" encoding="utf-8"?>
<sst xmlns="http://schemas.openxmlformats.org/spreadsheetml/2006/main" count="1574" uniqueCount="760">
  <si>
    <t>序号</t>
  </si>
  <si>
    <t>所属公司</t>
  </si>
  <si>
    <t>租赁合同编号</t>
  </si>
  <si>
    <t>地点</t>
  </si>
  <si>
    <t>地址</t>
  </si>
  <si>
    <t>出租人</t>
  </si>
  <si>
    <t>签订日期</t>
  </si>
  <si>
    <t>租期</t>
  </si>
  <si>
    <t>起租日期</t>
  </si>
  <si>
    <t>租赁截止日期</t>
  </si>
  <si>
    <t>租赁情况备注</t>
  </si>
  <si>
    <t>免租期</t>
  </si>
  <si>
    <t>每月租金</t>
  </si>
  <si>
    <t>租金备注</t>
  </si>
  <si>
    <r>
      <rPr>
        <b/>
        <sz val="9"/>
        <color theme="1"/>
        <rFont val="Arial"/>
        <charset val="134"/>
      </rPr>
      <t>2018</t>
    </r>
    <r>
      <rPr>
        <b/>
        <sz val="9"/>
        <color theme="1"/>
        <rFont val="宋体"/>
        <charset val="134"/>
      </rPr>
      <t>年租金</t>
    </r>
  </si>
  <si>
    <r>
      <rPr>
        <b/>
        <sz val="9"/>
        <color theme="1"/>
        <rFont val="宋体"/>
        <charset val="134"/>
      </rPr>
      <t>于</t>
    </r>
    <r>
      <rPr>
        <b/>
        <sz val="9"/>
        <color theme="1"/>
        <rFont val="Arial"/>
        <charset val="134"/>
      </rPr>
      <t>2018</t>
    </r>
    <r>
      <rPr>
        <b/>
        <sz val="9"/>
        <color theme="1"/>
        <rFont val="宋体"/>
        <charset val="134"/>
      </rPr>
      <t>年</t>
    </r>
    <r>
      <rPr>
        <b/>
        <sz val="9"/>
        <color theme="1"/>
        <rFont val="Arial"/>
        <charset val="134"/>
      </rPr>
      <t>9</t>
    </r>
    <r>
      <rPr>
        <b/>
        <sz val="9"/>
        <color theme="1"/>
        <rFont val="宋体"/>
        <charset val="134"/>
      </rPr>
      <t>月</t>
    </r>
    <r>
      <rPr>
        <b/>
        <sz val="9"/>
        <color theme="1"/>
        <rFont val="Arial"/>
        <charset val="134"/>
      </rPr>
      <t>30</t>
    </r>
    <r>
      <rPr>
        <b/>
        <sz val="9"/>
        <color theme="1"/>
        <rFont val="宋体"/>
        <charset val="134"/>
      </rPr>
      <t>日，依据租赁合同计算的在所述期间内需支付的租赁款项</t>
    </r>
  </si>
  <si>
    <t>按银行贷款利率计算</t>
  </si>
  <si>
    <t>一级分公司</t>
  </si>
  <si>
    <t>二级分公司</t>
  </si>
  <si>
    <t>省</t>
  </si>
  <si>
    <t>市</t>
  </si>
  <si>
    <r>
      <rPr>
        <sz val="9"/>
        <color theme="1"/>
        <rFont val="宋体"/>
        <charset val="134"/>
      </rPr>
      <t>依据租赁合同计算的</t>
    </r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1-9</t>
    </r>
    <r>
      <rPr>
        <sz val="9"/>
        <color theme="1"/>
        <rFont val="宋体"/>
        <charset val="134"/>
      </rPr>
      <t>月租金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</si>
  <si>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9</t>
    </r>
    <r>
      <rPr>
        <sz val="9"/>
        <color theme="1"/>
        <rFont val="宋体"/>
        <charset val="134"/>
      </rPr>
      <t>月业务及管理费中租赁费用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</si>
  <si>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9</t>
    </r>
    <r>
      <rPr>
        <sz val="9"/>
        <color theme="1"/>
        <rFont val="宋体"/>
        <charset val="134"/>
      </rPr>
      <t>月间接理赔费用中租赁费用</t>
    </r>
  </si>
  <si>
    <r>
      <rPr>
        <sz val="9"/>
        <color theme="1"/>
        <rFont val="宋体"/>
        <charset val="134"/>
      </rPr>
      <t>预计</t>
    </r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10-12</t>
    </r>
    <r>
      <rPr>
        <sz val="9"/>
        <color theme="1"/>
        <rFont val="宋体"/>
        <charset val="134"/>
      </rPr>
      <t>月租金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</si>
  <si>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年全年租金</t>
    </r>
  </si>
  <si>
    <t>备注</t>
  </si>
  <si>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年以内（</t>
    </r>
    <r>
      <rPr>
        <sz val="9"/>
        <color theme="1"/>
        <rFont val="Arial"/>
        <charset val="134"/>
      </rPr>
      <t>2019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2019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</si>
  <si>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2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2020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2020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</si>
  <si>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2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3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2021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2021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</si>
  <si>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3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4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2022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2022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</si>
  <si>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4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5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2023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2023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</si>
  <si>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5</t>
    </r>
    <r>
      <rPr>
        <sz val="9"/>
        <color theme="1"/>
        <rFont val="宋体"/>
        <charset val="134"/>
      </rPr>
      <t>年以上（</t>
    </r>
    <r>
      <rPr>
        <sz val="9"/>
        <color theme="1"/>
        <rFont val="Arial"/>
        <charset val="134"/>
      </rPr>
      <t>2024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日以后应付租赁费）</t>
    </r>
  </si>
  <si>
    <t>现值</t>
  </si>
  <si>
    <r>
      <rPr>
        <sz val="9"/>
        <color theme="1"/>
        <rFont val="宋体"/>
        <charset val="134"/>
      </rPr>
      <t>折旧</t>
    </r>
    <r>
      <rPr>
        <sz val="9"/>
        <color theme="1"/>
        <rFont val="Arial"/>
        <charset val="134"/>
      </rPr>
      <t xml:space="preserve"> </t>
    </r>
  </si>
  <si>
    <t>使用权资产</t>
  </si>
  <si>
    <t>租赁负债</t>
  </si>
  <si>
    <t>财务费用</t>
  </si>
  <si>
    <t>损益累计影响</t>
  </si>
  <si>
    <t>第一年损益</t>
  </si>
  <si>
    <t>总公司</t>
  </si>
  <si>
    <t>广东省</t>
  </si>
  <si>
    <t>深圳市</t>
  </si>
  <si>
    <t>深圳市南山区留仙大道1201号平山工业区17栋4楼402-406号</t>
  </si>
  <si>
    <t>深圳市朋年投资有限公司</t>
  </si>
  <si>
    <t>客服中心</t>
  </si>
  <si>
    <t>20170910-20190909 71517.6元 /20190910-20210909 78669.36元</t>
  </si>
  <si>
    <t>陕西</t>
  </si>
  <si>
    <t>陕西分公司</t>
  </si>
  <si>
    <t>-</t>
  </si>
  <si>
    <t>陕西省</t>
  </si>
  <si>
    <t>西安市</t>
  </si>
  <si>
    <t xml:space="preserve">陕西省西安市高新区沣惠南路34号摩尔中心B座4层 </t>
  </si>
  <si>
    <t>西安得天厚置业有限公司</t>
  </si>
  <si>
    <t>5年</t>
  </si>
  <si>
    <t>1个月</t>
  </si>
  <si>
    <t>第三年7月1日开始每年在前一年的基础上递增5%</t>
  </si>
  <si>
    <t>渭南中心支公司</t>
  </si>
  <si>
    <t>GZ20174080</t>
  </si>
  <si>
    <t>渭南市</t>
  </si>
  <si>
    <t>渭南市临渭区胜利大街海兴城2#楼裙</t>
  </si>
  <si>
    <t>渭南市速达运输有限责任公司</t>
  </si>
  <si>
    <t>无</t>
  </si>
  <si>
    <t>每年在前一年的基础上递增5%</t>
  </si>
  <si>
    <t>延安中心支公司</t>
  </si>
  <si>
    <t>DH1220180031</t>
  </si>
  <si>
    <t>延安市</t>
  </si>
  <si>
    <t xml:space="preserve"> 延安市宝塔区七里铺大街北龙大厦写字楼17楼 </t>
  </si>
  <si>
    <t>高军</t>
  </si>
  <si>
    <t>3年</t>
  </si>
  <si>
    <t>无递增,延安中支处于筹备期，房屋租赁一次性进入开办费</t>
  </si>
  <si>
    <t>广西</t>
  </si>
  <si>
    <t>广西分公司</t>
  </si>
  <si>
    <t>GZ20161368</t>
  </si>
  <si>
    <t>广西壮族自治区</t>
  </si>
  <si>
    <t>南宁市</t>
  </si>
  <si>
    <t>南宁市青秀区东葛路118号</t>
  </si>
  <si>
    <t>黄一峰、磨定晖、黄晓健、杨秉通、黄桂兰</t>
  </si>
  <si>
    <t>8年</t>
  </si>
  <si>
    <t>DH0220180097</t>
  </si>
  <si>
    <t>河池市</t>
  </si>
  <si>
    <t>西环路443号</t>
  </si>
  <si>
    <t>广西电网有限责任公司河池供电局</t>
  </si>
  <si>
    <t>1年</t>
  </si>
  <si>
    <t>DH0220180154</t>
  </si>
  <si>
    <t>西环路87号二楼商铺</t>
  </si>
  <si>
    <t>河池市土地开发整理中心</t>
  </si>
  <si>
    <t>半年</t>
  </si>
  <si>
    <t>GZ20140199</t>
  </si>
  <si>
    <t>钦州市</t>
  </si>
  <si>
    <t>汇东名园B栋二楼</t>
  </si>
  <si>
    <t>广西钦州海汇置业有限责任公司</t>
  </si>
  <si>
    <t>有</t>
  </si>
  <si>
    <t>GZ20151134</t>
  </si>
  <si>
    <t>柳州市</t>
  </si>
  <si>
    <t>东环大道230号之一居上东旺阁A座7楼9号－12号</t>
  </si>
  <si>
    <t>莫柳敏</t>
  </si>
  <si>
    <t>GZ20171011</t>
  </si>
  <si>
    <t>东环大道230号居上V8城A座13楼6、7号</t>
  </si>
  <si>
    <t>广西正旭投资管理有限责任公司</t>
  </si>
  <si>
    <t>GZ20160068</t>
  </si>
  <si>
    <t>东环大道230号之一居上东旺阁A座13楼8号</t>
  </si>
  <si>
    <t>范瑞军</t>
  </si>
  <si>
    <t>GZ20171469</t>
  </si>
  <si>
    <t>融水县融水镇华强路36号</t>
  </si>
  <si>
    <t>韦运谊</t>
  </si>
  <si>
    <t>GZ20171474</t>
  </si>
  <si>
    <t>柳江县建都开发区乐都大道65号房屋一栋</t>
  </si>
  <si>
    <t>刘宪忠</t>
  </si>
  <si>
    <t>DH0220180021</t>
  </si>
  <si>
    <t>兴宁区昆仑大道169号金桥农产品批发市场26栋20号商铺</t>
  </si>
  <si>
    <t>蓝华俊</t>
  </si>
  <si>
    <t>GZ20172297</t>
  </si>
  <si>
    <t>百色市</t>
  </si>
  <si>
    <t>百色市江滨二路金湾广场瑞华苑二楼2-F13号</t>
  </si>
  <si>
    <t>张刚</t>
  </si>
  <si>
    <t>GZ20170263</t>
  </si>
  <si>
    <t>靖西市</t>
  </si>
  <si>
    <t>靖西县新靖镇城东路467号</t>
  </si>
  <si>
    <t>梁军 、杨懿</t>
  </si>
  <si>
    <t>2年</t>
  </si>
  <si>
    <t>GZ20160494</t>
  </si>
  <si>
    <t>隆林县</t>
  </si>
  <si>
    <t>隆林县隆林幸福花园第二期22栋15号商铺22-15（A15）</t>
  </si>
  <si>
    <t>百色长江天成房地产开发有限公司隆林分公司</t>
  </si>
  <si>
    <t>GZ20170239</t>
  </si>
  <si>
    <t>平果县</t>
  </si>
  <si>
    <t>平果县新兴路蔚蓝国际1幢1108、1109号</t>
  </si>
  <si>
    <t>阳辉</t>
  </si>
  <si>
    <t>GZ20181208</t>
  </si>
  <si>
    <t>玉林市</t>
  </si>
  <si>
    <t>教育东路475号兴明大厦三楼303室</t>
  </si>
  <si>
    <t>玉林德信物业管理有限公司</t>
  </si>
  <si>
    <t>GZ20131264</t>
  </si>
  <si>
    <t>陆川县</t>
  </si>
  <si>
    <t>温泉镇温泉南路西侧136号</t>
  </si>
  <si>
    <t>丘绍仁</t>
  </si>
  <si>
    <t>GZ20151424</t>
  </si>
  <si>
    <t>容县</t>
  </si>
  <si>
    <t>容州镇城南大道102号</t>
  </si>
  <si>
    <t>梁劳</t>
  </si>
  <si>
    <t>GZ20171296</t>
  </si>
  <si>
    <t>北海市</t>
  </si>
  <si>
    <t>北京路商业街8号中环广场502号</t>
  </si>
  <si>
    <t>北海清意文化艺术交流发展有限责任公司</t>
  </si>
  <si>
    <t>GZ20174486</t>
  </si>
  <si>
    <t>梧州市</t>
  </si>
  <si>
    <t>梧州市西环路中段3号</t>
  </si>
  <si>
    <t>广西梧州光明电力实业有限公司</t>
  </si>
  <si>
    <t>GZ20161372</t>
  </si>
  <si>
    <t>岑溪市</t>
  </si>
  <si>
    <t>岑溪市城东路93号</t>
  </si>
  <si>
    <t>冯家元</t>
  </si>
  <si>
    <t>GZ20171694</t>
  </si>
  <si>
    <t>岑溪市玉梧大道262号一楼</t>
  </si>
  <si>
    <t>梁坚</t>
  </si>
  <si>
    <t>GZ20160499</t>
  </si>
  <si>
    <t>藤县</t>
  </si>
  <si>
    <t>藤县藤州镇津南路288号检测站场地内</t>
  </si>
  <si>
    <t>藤县大众机动车检测有限公司</t>
  </si>
  <si>
    <t>GZ20161894</t>
  </si>
  <si>
    <t>南宁市滨湖路76号琅东村委2、3号综合楼8层</t>
  </si>
  <si>
    <t>广西初厦投资管理有限责任公司</t>
  </si>
  <si>
    <t>45天</t>
  </si>
  <si>
    <t>GZ20140643</t>
  </si>
  <si>
    <t>横县横州镇长安路391号</t>
  </si>
  <si>
    <t>蒙祖汉</t>
  </si>
  <si>
    <t>GZ20161290</t>
  </si>
  <si>
    <t>南宁市武鸣区新兴社区江滨一小区89号</t>
  </si>
  <si>
    <t>陆城</t>
  </si>
  <si>
    <t>GZ20161318</t>
  </si>
  <si>
    <t>桂林市</t>
  </si>
  <si>
    <t>上海路15号</t>
  </si>
  <si>
    <t>广西漓昇电力建设有限责任公司</t>
  </si>
  <si>
    <t>GZ20150359</t>
  </si>
  <si>
    <t>防城港市</t>
  </si>
  <si>
    <t>防城港市港口区兴港大道6号</t>
  </si>
  <si>
    <t>广西电网有限责任公司防城港供电局</t>
  </si>
  <si>
    <t>DH20181487</t>
  </si>
  <si>
    <t>防城港市防城区珍珠大道长岛800里长城小区</t>
  </si>
  <si>
    <t>防城港市柏悦汽车销售服务有限责任公司</t>
  </si>
  <si>
    <t>DH0220180017</t>
  </si>
  <si>
    <t>东兴市北仑大道678号</t>
  </si>
  <si>
    <t>广西电网有限责任公司防城港东兴供电局</t>
  </si>
  <si>
    <t>GZ20181243</t>
  </si>
  <si>
    <t>防城港市上思县思阳镇团结路文山停车场</t>
  </si>
  <si>
    <t>上思县文山服务有限公司</t>
  </si>
  <si>
    <t>海南</t>
  </si>
  <si>
    <t>海南分公司</t>
  </si>
  <si>
    <t>GZ20181265</t>
  </si>
  <si>
    <t>海南省</t>
  </si>
  <si>
    <t>海口市</t>
  </si>
  <si>
    <t>龙华区滨海大道97号置盛西苑5层</t>
  </si>
  <si>
    <t>王爽</t>
  </si>
  <si>
    <t>龙华区滨海大道琼泰大厦14层</t>
  </si>
  <si>
    <t>海南琼泰物业管理有限公司</t>
  </si>
  <si>
    <t>10年</t>
  </si>
  <si>
    <t>三亚中心支公司</t>
  </si>
  <si>
    <t>DH0720180021</t>
  </si>
  <si>
    <t>三亚市</t>
  </si>
  <si>
    <t>迎宾路165号中铁置业广场写字楼产品3A层7号房</t>
  </si>
  <si>
    <t>三亚中铁置业有限公司</t>
  </si>
  <si>
    <t>迎宾路165号中铁置业广场写字楼产品3A层8号房</t>
  </si>
  <si>
    <t>程婕</t>
  </si>
  <si>
    <t>儋州支公司</t>
  </si>
  <si>
    <t>儋州市</t>
  </si>
  <si>
    <t>儋州市那大中兴大街21号街区A13号</t>
  </si>
  <si>
    <t>郭庆文</t>
  </si>
  <si>
    <t>文昌支公司</t>
  </si>
  <si>
    <t>GZ20172374</t>
  </si>
  <si>
    <t>文昌市</t>
  </si>
  <si>
    <t>文昌市文建路119号旭日大厦4楼</t>
  </si>
  <si>
    <t>傅红日</t>
  </si>
  <si>
    <t>4年</t>
  </si>
  <si>
    <t>琼海支公司</t>
  </si>
  <si>
    <t>GZ20173603</t>
  </si>
  <si>
    <t>琼海市</t>
  </si>
  <si>
    <t>琼海市嘉积镇爱华东路延1号</t>
  </si>
  <si>
    <t>苏永章</t>
  </si>
  <si>
    <t>6年</t>
  </si>
  <si>
    <t>东方支公司</t>
  </si>
  <si>
    <t>GZ20141656</t>
  </si>
  <si>
    <t>东方市</t>
  </si>
  <si>
    <t>东方市八所镇永安路居龙新村润泽农贸市场北侧居民楼之3号房屋</t>
  </si>
  <si>
    <t>刘平</t>
  </si>
  <si>
    <t>昌江支公司</t>
  </si>
  <si>
    <t>GZ20172476</t>
  </si>
  <si>
    <t>昌江市</t>
  </si>
  <si>
    <t>昌江大道山海黎巷商铺1栋</t>
  </si>
  <si>
    <t>郭宏悦</t>
  </si>
  <si>
    <t>万宁支公司</t>
  </si>
  <si>
    <t>DH0720180051</t>
  </si>
  <si>
    <t>万宁市</t>
  </si>
  <si>
    <t>万宁市环市二西路01地块“仁里安置区”G11G号</t>
  </si>
  <si>
    <t>王晨曦</t>
  </si>
  <si>
    <t>四川</t>
  </si>
  <si>
    <t>四川分公司</t>
  </si>
  <si>
    <t>四川省</t>
  </si>
  <si>
    <t>成都市</t>
  </si>
  <si>
    <t>高新区科园2路10号航利中心1栋1单元14楼2号</t>
  </si>
  <si>
    <t>成都海天鸿实业发展有限公司</t>
  </si>
  <si>
    <t>3.5年</t>
  </si>
  <si>
    <t>双流支公司</t>
  </si>
  <si>
    <t>双流区东升街道三强东路二段93号附8号一层商铺</t>
  </si>
  <si>
    <t>李方琼、邓代康</t>
  </si>
  <si>
    <t>新都支公司</t>
  </si>
  <si>
    <t>GZ20171284</t>
  </si>
  <si>
    <t>新都区新都镇清源路222号锦绣香城壹栋1层3号</t>
  </si>
  <si>
    <t>杨吉培、陈宗翠</t>
  </si>
  <si>
    <t>邛崃支公司</t>
  </si>
  <si>
    <t>GZ20171997</t>
  </si>
  <si>
    <t>邛崃市</t>
  </si>
  <si>
    <t>临邛镇玉带街245号65栋1层和247号65栋1层</t>
  </si>
  <si>
    <t>冉世彬</t>
  </si>
  <si>
    <t>崇州支公司</t>
  </si>
  <si>
    <t>崇州市</t>
  </si>
  <si>
    <t>崇阳街道永安西路175号1层</t>
  </si>
  <si>
    <t>肖力铭</t>
  </si>
  <si>
    <t>彭州支公司</t>
  </si>
  <si>
    <t>彭州市</t>
  </si>
  <si>
    <t>天彭镇朝阳南路242、246号一层</t>
  </si>
  <si>
    <t>陈仁龙</t>
  </si>
  <si>
    <t>DH0520180110</t>
  </si>
  <si>
    <t>高新支公司</t>
  </si>
  <si>
    <t>高新区科园2路10号航利中心1栋1单元13楼2号</t>
  </si>
  <si>
    <t xml:space="preserve">眉山中心支公司 </t>
  </si>
  <si>
    <t>眉山市</t>
  </si>
  <si>
    <t>东坡区湖滨路锦湖苑商住小区2栋底层9号</t>
  </si>
  <si>
    <t>邓志丽 、徐曦</t>
  </si>
  <si>
    <t>东坡区湖滨路锦湖苑商住小区2栋底层  8  号</t>
  </si>
  <si>
    <t>邓志修 、杨光武</t>
  </si>
  <si>
    <t xml:space="preserve">泸州中心支公司 </t>
  </si>
  <si>
    <t>GZ20163236</t>
  </si>
  <si>
    <t>泸州市</t>
  </si>
  <si>
    <t>江阳区江阳西路45号5幢楼二层1号写字楼</t>
  </si>
  <si>
    <t>赵飞</t>
  </si>
  <si>
    <t xml:space="preserve">绵阳中心支公司 </t>
  </si>
  <si>
    <t>GZ20163033</t>
  </si>
  <si>
    <t>绵阳市</t>
  </si>
  <si>
    <t>绵阳经开区机场东路453号</t>
  </si>
  <si>
    <t>四川中玮海润置地有限公司</t>
  </si>
  <si>
    <t>天府中心支公司</t>
  </si>
  <si>
    <t>GZ20180190</t>
  </si>
  <si>
    <t>高新区锦晖一街99号2栋1单元5层501号</t>
  </si>
  <si>
    <t>门帆</t>
  </si>
  <si>
    <t>贵州</t>
  </si>
  <si>
    <t>鼎和财产保险股份有限公司贵州分公司</t>
  </si>
  <si>
    <t>BPJ/ZL-02</t>
  </si>
  <si>
    <t>贵州省</t>
  </si>
  <si>
    <t>贵阳市</t>
  </si>
  <si>
    <t>贵阳市南明区新华路富中国际广场21楼</t>
  </si>
  <si>
    <t>贵州北盘江电力股份有限公司</t>
  </si>
  <si>
    <t>2个月</t>
  </si>
  <si>
    <t>鼎和财产保险股份有限公司安顺中心支公司</t>
  </si>
  <si>
    <t>GZ20174286</t>
  </si>
  <si>
    <t>安顺市</t>
  </si>
  <si>
    <t>经济技术开发区北航路锦锈四季园23号电梯楼26层</t>
  </si>
  <si>
    <t>贵州省安顺市远大房地产开发有限公司</t>
  </si>
  <si>
    <t>DH0420180017</t>
  </si>
  <si>
    <t>安顺市西秀区中华北路105号世通和府1号楼二层</t>
  </si>
  <si>
    <t>安顺市世通房地产开发有限公司</t>
  </si>
  <si>
    <t>鼎和财产保险股份有限公司兴义支公司</t>
  </si>
  <si>
    <t>DHXY[2017]001</t>
  </si>
  <si>
    <t>兴义市</t>
  </si>
  <si>
    <t>桔山街道办事处瑞金大道侧博强写字楼7楼701室</t>
  </si>
  <si>
    <t>廖学龙</t>
  </si>
  <si>
    <t>（房屋租赁时间到2022年6月底，因此这个金额为6个月的）</t>
  </si>
  <si>
    <t>鼎和财产保险股份有限公司兴仁营销服务部</t>
  </si>
  <si>
    <t>DHXY[2017]002</t>
  </si>
  <si>
    <t>兴仁县</t>
  </si>
  <si>
    <t>兴仁县城关镇城东新区桃园路</t>
  </si>
  <si>
    <t>杨荣贵</t>
  </si>
  <si>
    <t>（该合同2019年5月底到期，该金额为6个月的）</t>
  </si>
  <si>
    <t>鼎和财产保险股份有限公司黔东南中心支公司</t>
  </si>
  <si>
    <t>DHICGZFZ025</t>
  </si>
  <si>
    <t>凯里市</t>
  </si>
  <si>
    <t>韶山北路南网电网小十字营业厅二楼</t>
  </si>
  <si>
    <t>凯里供电局</t>
  </si>
  <si>
    <t>鼎和财产保险股份有限公司黎平营销部</t>
  </si>
  <si>
    <t>黎平县</t>
  </si>
  <si>
    <t>贵州省黎平县港澳新区</t>
  </si>
  <si>
    <t>鼎和财产保险股份有限公司铜仁支公司</t>
  </si>
  <si>
    <t>铜仁市</t>
  </si>
  <si>
    <t>碧江区东太大道时代商汇14栋</t>
  </si>
  <si>
    <t>贵州省铜仁市兴铜电力有限责任公司</t>
  </si>
  <si>
    <t>鼎和财产保险股份有限公司黔南中心支公司</t>
  </si>
  <si>
    <t>都匀市</t>
  </si>
  <si>
    <t>都匀市开发区龙山大道桃溪园18栋1层8号</t>
  </si>
  <si>
    <t>曹培香</t>
  </si>
  <si>
    <t>都匀市开发区龙山大道桃溪园18栋2单元2层201、202号，3单元2层201号</t>
  </si>
  <si>
    <t>何艳</t>
  </si>
  <si>
    <t>鼎和财产保险股份有限公司六盘水中心支公司</t>
  </si>
  <si>
    <t>六盘水市</t>
  </si>
  <si>
    <t>六盘水市钟山区八一路17号凉都花园6栋（203.204.205室）8栋（205.206室）</t>
  </si>
  <si>
    <t>唐东</t>
  </si>
  <si>
    <t>鼎和财产保险股份有限公司毕节支公司</t>
  </si>
  <si>
    <t>毕节市</t>
  </si>
  <si>
    <t>毕节市碧阳大道碧阳国际城9幢2单元1层1号</t>
  </si>
  <si>
    <t>赵钦</t>
  </si>
  <si>
    <t>毕节市碧阳大道碧阳国际城9幢2单元1层2号</t>
  </si>
  <si>
    <t>周相呈</t>
  </si>
  <si>
    <t>毕节市碧阳大道碧阳国际城9幢2单元1层3号</t>
  </si>
  <si>
    <t>李欢</t>
  </si>
  <si>
    <t>鼎和财产保险股份有限公司遵义中支</t>
  </si>
  <si>
    <t>遵义市</t>
  </si>
  <si>
    <t>遵义市汇川区上海路常青藤B栋2单元14楼</t>
  </si>
  <si>
    <t>李汇青</t>
  </si>
  <si>
    <t>鼎和财产保险股份有限公司遵义中支湄潭营销服务部</t>
  </si>
  <si>
    <t>遵义市湄潭县湄江镇南北一号路旁茶城六区6-1、6-2、6-3号</t>
  </si>
  <si>
    <t>遵义银泰物业服务有限公司</t>
  </si>
  <si>
    <t>鼎和财产保险股份有限公司遵义中支播州营销服务部</t>
  </si>
  <si>
    <t>遵义县南白镇西大街北段</t>
  </si>
  <si>
    <t>李恩忠</t>
  </si>
  <si>
    <t>鼎和财产保险股份有限公司遵义中支习水营销服务部</t>
  </si>
  <si>
    <t>习水县东皇镇天生建材城B3幢1-3-3号</t>
  </si>
  <si>
    <t>贵州省习水县物资供应总公司</t>
  </si>
  <si>
    <t>鼎和财产保险股份有限公司遵义中支绥阳营销服务部</t>
  </si>
  <si>
    <t>绥阳县洋川镇幸福大道万豪大厦1单元1楼104号门面</t>
  </si>
  <si>
    <t>何卫星</t>
  </si>
  <si>
    <t>鼎和财产保险股份有限公司金阳支公司</t>
  </si>
  <si>
    <t>贵阳观山湖区</t>
  </si>
  <si>
    <t>贵州省贵阳市观山湖区金阳南路6号贵阳世纪城X组团4栋4单元18层6、7号</t>
  </si>
  <si>
    <t>欧阳华林、宁昕</t>
  </si>
  <si>
    <t>河北</t>
  </si>
  <si>
    <t>河北分公司</t>
  </si>
  <si>
    <t>DH20172493、DH20173511（补充协议）</t>
  </si>
  <si>
    <t>河北省</t>
  </si>
  <si>
    <t>石家庄市</t>
  </si>
  <si>
    <t>裕华区槐安东路152号金源商务广场A座13层</t>
  </si>
  <si>
    <t>河北都邦石化工程设计有限公司</t>
  </si>
  <si>
    <t>2017/7/1至2017/7/31</t>
  </si>
  <si>
    <t>租金单价1.8元/平方米·天，含增值税；车位每月1350元/3个</t>
  </si>
  <si>
    <t>2018年8月支付2018年8月1日至2019年7月31日房租，成本已计入2018年，同时2017年支付房租时因面积多算导致多付租赁费，2018年支付时直接冲减。</t>
  </si>
  <si>
    <t>河南</t>
  </si>
  <si>
    <t>河南分公司</t>
  </si>
  <si>
    <t>ZW-ZL-20141004</t>
  </si>
  <si>
    <t>河南省</t>
  </si>
  <si>
    <t>郑州市</t>
  </si>
  <si>
    <t>郑东新区才高街16号龙潭毛尖大厦</t>
  </si>
  <si>
    <t>郑州市众旺企业管理咨询有限公司</t>
  </si>
  <si>
    <t>每年递增</t>
  </si>
  <si>
    <t>中原区营销服务部</t>
  </si>
  <si>
    <t>Gz20174541</t>
  </si>
  <si>
    <t>中原区百花路40号</t>
  </si>
  <si>
    <t>郑州尚品雅悦酒店有限公司</t>
  </si>
  <si>
    <t>帝湖营销服务部</t>
  </si>
  <si>
    <t>Gz20174305</t>
  </si>
  <si>
    <t>二七区工人路与长江路交叉口向南20米路东</t>
  </si>
  <si>
    <t>河南鑫永安汽车修理有限公司</t>
  </si>
  <si>
    <t>尉氏县营销服务部</t>
  </si>
  <si>
    <t>GZ20174307</t>
  </si>
  <si>
    <t>开封市</t>
  </si>
  <si>
    <t>尉氏县文化路西段与光明路交叉口西10米路北</t>
  </si>
  <si>
    <t>河南盛同生汽车销售服务有限公司</t>
  </si>
  <si>
    <t>兰考县营销服务部</t>
  </si>
  <si>
    <t>GZ20180691</t>
  </si>
  <si>
    <t>兰考县谷营镇振兴街与双营路交叉口西北角门面房</t>
  </si>
  <si>
    <t>高国平</t>
  </si>
  <si>
    <t xml:space="preserve">无 </t>
  </si>
  <si>
    <t>GZ20174372</t>
  </si>
  <si>
    <t>兰考县城区汴兰路</t>
  </si>
  <si>
    <t>马宏波</t>
  </si>
  <si>
    <t>已退租</t>
  </si>
  <si>
    <t>舞阳县营销服务部</t>
  </si>
  <si>
    <t>GZ20174388</t>
  </si>
  <si>
    <t>漯河市</t>
  </si>
  <si>
    <t>舞阳县南京北路东</t>
  </si>
  <si>
    <t>郭彦涛</t>
  </si>
  <si>
    <t>新乡中支筹</t>
  </si>
  <si>
    <t>DH20181462</t>
  </si>
  <si>
    <t>新乡市</t>
  </si>
  <si>
    <t>新乡市新中大道新视小区14号营住楼106号</t>
  </si>
  <si>
    <t>新乡市新视房地产开发有限责任公司</t>
  </si>
  <si>
    <t>第三年递增</t>
  </si>
  <si>
    <t>濮阳中支筹</t>
  </si>
  <si>
    <t>DH20181425</t>
  </si>
  <si>
    <t>濮阳市</t>
  </si>
  <si>
    <t>濮阳市华龙区黄河路南</t>
  </si>
  <si>
    <t>张秀琴</t>
  </si>
  <si>
    <t>平顶山中支筹</t>
  </si>
  <si>
    <t>DH1120180002</t>
  </si>
  <si>
    <t>平顶山</t>
  </si>
  <si>
    <t>平顶山市建设路路南侧平棉大厦20楼</t>
  </si>
  <si>
    <t>河南平棉纺织集团股份有限公司</t>
  </si>
  <si>
    <t>前三年由政府补贴房租</t>
  </si>
  <si>
    <t>安阳中支</t>
  </si>
  <si>
    <t>GZ20171005</t>
  </si>
  <si>
    <t>安阳市</t>
  </si>
  <si>
    <t>殷都区铁西路与文明大道交叉口西200米</t>
  </si>
  <si>
    <t>安阳市太兴房地产开发有限公司</t>
  </si>
  <si>
    <t>后两年递增5%</t>
  </si>
  <si>
    <t>江西</t>
  </si>
  <si>
    <t>江西分公司</t>
  </si>
  <si>
    <t>江西省</t>
  </si>
  <si>
    <t>南昌市</t>
  </si>
  <si>
    <t>红谷滩新区凤凰中大道1000号万达中心B1座601-606、616室</t>
  </si>
  <si>
    <t>肖水芽、张海燕、李文广</t>
  </si>
  <si>
    <t>70天</t>
  </si>
  <si>
    <t>租金逐年递增8%</t>
  </si>
  <si>
    <t>GZ20170550</t>
  </si>
  <si>
    <t>红谷滩新区凤凰中大道1000号万达中心B1座607室</t>
  </si>
  <si>
    <t>涂以平</t>
  </si>
  <si>
    <t>租金逐年递增10%</t>
  </si>
  <si>
    <t>GZ20160824</t>
  </si>
  <si>
    <t>红谷滩新区万达中心一号商业楼107/108室</t>
  </si>
  <si>
    <t>朱荷花、刘嘉璐</t>
  </si>
  <si>
    <t>7年</t>
  </si>
  <si>
    <t>30天</t>
  </si>
  <si>
    <t>租金逐年递增5%</t>
  </si>
  <si>
    <t>DH1020180006</t>
  </si>
  <si>
    <t>南昌市新建长堎镇文化大道1041号房</t>
  </si>
  <si>
    <t>邹国旺</t>
  </si>
  <si>
    <t>DH1020180005</t>
  </si>
  <si>
    <t>宜春市</t>
  </si>
  <si>
    <t>袁州区袁山中路202-206号</t>
  </si>
  <si>
    <t>宜春市袁州区国有资产运营有限公司</t>
  </si>
  <si>
    <t>4年7个月</t>
  </si>
  <si>
    <t>租金逐年递增3%</t>
  </si>
  <si>
    <t>GZ20162646</t>
  </si>
  <si>
    <t>赣州市</t>
  </si>
  <si>
    <t>赣县区杨仙大道西路11号贡江上院4栋2-8号</t>
  </si>
  <si>
    <t>谢春华、张丽芳、谢忠伟、谢忠萍</t>
  </si>
  <si>
    <t>2018.11.1-2020.10.31租金21148.24元/月，2020.11.1-2021.10.31租金23263.06元/月；</t>
  </si>
  <si>
    <t>DH1020180031</t>
  </si>
  <si>
    <t>九江市</t>
  </si>
  <si>
    <t>九江市经济技术开发区鹤问湖1号9栋103，203，204</t>
  </si>
  <si>
    <t>郑水良</t>
  </si>
  <si>
    <t>租金每年递增8%</t>
  </si>
  <si>
    <t>山东</t>
  </si>
  <si>
    <t>济南中心支公司</t>
  </si>
  <si>
    <t>GZ20180736</t>
  </si>
  <si>
    <t>山东省</t>
  </si>
  <si>
    <t>济南市</t>
  </si>
  <si>
    <t>历下区经十路成诚大厦A座21楼</t>
  </si>
  <si>
    <t>山东省设备成套招标中心</t>
  </si>
  <si>
    <t>潍坊中心支公司</t>
  </si>
  <si>
    <t>DH1320180088</t>
  </si>
  <si>
    <t>潍坊市</t>
  </si>
  <si>
    <t>坊子区育才街466号四中家园小区1号楼1-06、1-08部分地区</t>
  </si>
  <si>
    <t>李鹏勇</t>
  </si>
  <si>
    <t>上海</t>
  </si>
  <si>
    <t>上海分公司</t>
  </si>
  <si>
    <t>浦东彩印2014-20号</t>
  </si>
  <si>
    <t>上海市</t>
  </si>
  <si>
    <t>上海市浦东新区杨高中路2112号1号楼C座118室、205室</t>
  </si>
  <si>
    <t>上海界龙浦东彩印有限公司</t>
  </si>
  <si>
    <t>专票，抵扣税</t>
  </si>
  <si>
    <t>0002729</t>
  </si>
  <si>
    <t>闵行区浦星公路1969号40幢404、405室</t>
  </si>
  <si>
    <t>范云龙</t>
  </si>
  <si>
    <t>普票，入账9个月，有三个月在2017年入账</t>
  </si>
  <si>
    <t>QS-2017-( )</t>
  </si>
  <si>
    <t>普陀区中山北路2668号2902-2903室</t>
  </si>
  <si>
    <t>上海睿诚房地产经纪事务所</t>
  </si>
  <si>
    <t>1年8个月20天</t>
  </si>
  <si>
    <t>普票</t>
  </si>
  <si>
    <t>深圳</t>
  </si>
  <si>
    <t>深圳分公司</t>
  </si>
  <si>
    <t>GZ20160023</t>
  </si>
  <si>
    <t>罗湖区梨园路6号物资置地大厦20楼</t>
  </si>
  <si>
    <t>深圳市物资集团有限公司</t>
  </si>
  <si>
    <t>3个月</t>
  </si>
  <si>
    <t>每年递增5%</t>
  </si>
  <si>
    <t>深圳分公司福田支公司</t>
  </si>
  <si>
    <t>GZ20160847</t>
  </si>
  <si>
    <t>福田区深南大道与彩田交汇处嘉麟豪庭A座1703</t>
  </si>
  <si>
    <t>林若</t>
  </si>
  <si>
    <t>深圳分公司南山支公司</t>
  </si>
  <si>
    <t>GZ20172623</t>
  </si>
  <si>
    <t>深圳市南山区南新路与东滨路交汇处阳光TDI大厦二期（2栋）A座12层</t>
  </si>
  <si>
    <t>深圳市六洲同创投资发展有限公司</t>
  </si>
  <si>
    <t>深圳分公司宝安支公司</t>
  </si>
  <si>
    <t>DH20180003</t>
  </si>
  <si>
    <t>宝安区新安路1003号金融港A座4楼403、405</t>
  </si>
  <si>
    <t>深圳市华丰世纪物业管理有限公司</t>
  </si>
  <si>
    <t>深圳分公司松岗营销服务部</t>
  </si>
  <si>
    <t>GZ20180250</t>
  </si>
  <si>
    <t>宝安区松岗街道东方西山金海大厦1楼103房</t>
  </si>
  <si>
    <t>深圳市海堤投资有限公司</t>
  </si>
  <si>
    <t>保监已经答复牵址至宝安区新安路1003号金融港A座4楼403、405</t>
  </si>
  <si>
    <t>云南</t>
  </si>
  <si>
    <t>云南分公司</t>
  </si>
  <si>
    <t>云南省</t>
  </si>
  <si>
    <t>昆明市</t>
  </si>
  <si>
    <t>盘龙区东风东路48号金泰大厦14层</t>
  </si>
  <si>
    <t>昆明有色冶金设计研究院股份公司</t>
  </si>
  <si>
    <t>曲靖中心支公司</t>
  </si>
  <si>
    <t>曲靖市</t>
  </si>
  <si>
    <t>麒麟区文笔路阳光上城2幢商铺</t>
  </si>
  <si>
    <t>曲靖云电阳光房地产开发有限公司</t>
  </si>
  <si>
    <t>红河中心支公司</t>
  </si>
  <si>
    <t>蒙自市</t>
  </si>
  <si>
    <t>红河州蒙自市富康路16号1-4层</t>
  </si>
  <si>
    <t>段斌</t>
  </si>
  <si>
    <t>大理中心支公司</t>
  </si>
  <si>
    <t>大理市</t>
  </si>
  <si>
    <t>经济开发区富海路1号西楼一层</t>
  </si>
  <si>
    <t>杨佛星</t>
  </si>
  <si>
    <t>文山中心支公司</t>
  </si>
  <si>
    <t>文山市</t>
  </si>
  <si>
    <t>城南片区高山流水小区23幢3号</t>
  </si>
  <si>
    <t>李鹰</t>
  </si>
  <si>
    <t>玉溪中心支公司</t>
  </si>
  <si>
    <t>玉溪市</t>
  </si>
  <si>
    <t>红塔区龙马路28-16号2-4层</t>
  </si>
  <si>
    <t>朱小兰</t>
  </si>
  <si>
    <t>昭通中心支公司</t>
  </si>
  <si>
    <t>昭通市</t>
  </si>
  <si>
    <t>昭阳区龙泉路6号</t>
  </si>
  <si>
    <t>云南电网有限公司昭通供电局</t>
  </si>
  <si>
    <t>楚雄中心支公司</t>
  </si>
  <si>
    <t>楚雄市</t>
  </si>
  <si>
    <t>彝人古镇西街怡星园E9幢商铺1-2层</t>
  </si>
  <si>
    <t>刘有成</t>
  </si>
  <si>
    <t>春城支公司</t>
  </si>
  <si>
    <t>官渡区吴井街道办事处环城南路108号东来大厦16层16-E号</t>
  </si>
  <si>
    <t>蒋程程</t>
  </si>
  <si>
    <t>陆良支公司</t>
  </si>
  <si>
    <t>曲靖市陆良县</t>
  </si>
  <si>
    <t>陆良县锦绣家园A-8号商铺</t>
  </si>
  <si>
    <t>念鸭洪</t>
  </si>
  <si>
    <t>安宁支公司</t>
  </si>
  <si>
    <t>昆明安宁市</t>
  </si>
  <si>
    <t>安宁市连然街道办事处珍泉路水逸居5幢临街商铺29-30号</t>
  </si>
  <si>
    <t>安宁市自来水有限公司</t>
  </si>
  <si>
    <t>开远支公司</t>
  </si>
  <si>
    <t>开远市</t>
  </si>
  <si>
    <t>一行南路4号5幢整栋商住楼</t>
  </si>
  <si>
    <t>马从丽</t>
  </si>
  <si>
    <t>石屏支公司</t>
  </si>
  <si>
    <t>红河州石屏县</t>
  </si>
  <si>
    <t>异龙镇湖滨路25号湖滨小区A幢商住楼</t>
  </si>
  <si>
    <t>苏建华、龙春梅</t>
  </si>
  <si>
    <t>广东</t>
  </si>
  <si>
    <t>广东分公司本部</t>
  </si>
  <si>
    <t>广州市</t>
  </si>
  <si>
    <t>天河区天河东路2号201房自编粤电广场3楼301、302、303、304、305、306、307、308、309室物业</t>
  </si>
  <si>
    <t>广东粤电置业投资有限公司</t>
  </si>
  <si>
    <t>专票</t>
  </si>
  <si>
    <t>广州市天河支公司</t>
  </si>
  <si>
    <t>ZYC/JYB-ZL-17-006</t>
  </si>
  <si>
    <t>天河区天河东路6号粤电广场13楼1311-1312室</t>
  </si>
  <si>
    <t>佛山中心支公司</t>
  </si>
  <si>
    <t>佛山市</t>
  </si>
  <si>
    <t>佛山市南海区桂城街道季华东路33号佛山市电力科技产业中心2座711至718室</t>
  </si>
  <si>
    <t>佛山市汇威达电力科技产业园开发有限公司</t>
  </si>
  <si>
    <t>2.5年</t>
  </si>
  <si>
    <t>顺德中心支公司</t>
  </si>
  <si>
    <t>佛山市顺德区大良南国中路三号四楼401-405写字楼</t>
  </si>
  <si>
    <t>罗少群</t>
  </si>
  <si>
    <t>韶关中心支公司</t>
  </si>
  <si>
    <t>韶关市</t>
  </si>
  <si>
    <t>浈江区北江北路1号财富广场15楼1512-1516</t>
  </si>
  <si>
    <t>朱燕凤、梅艳、陈翠萍</t>
  </si>
  <si>
    <t>江门中心支公司</t>
  </si>
  <si>
    <t>江门市</t>
  </si>
  <si>
    <t>蓬江区堤东路73号斯派特大厦5楼</t>
  </si>
  <si>
    <t>文邵伟、李建鹏</t>
  </si>
  <si>
    <t>茂名中心支公司</t>
  </si>
  <si>
    <t>DH0120180049</t>
  </si>
  <si>
    <t>茂名市</t>
  </si>
  <si>
    <t xml:space="preserve">广东省茂名市油城六路雄基大厦5楼 </t>
  </si>
  <si>
    <t>茂名市通威贸易有限公司</t>
  </si>
  <si>
    <t>湛江中心支公司</t>
  </si>
  <si>
    <t>GZ20170929</t>
  </si>
  <si>
    <t>湛江市</t>
  </si>
  <si>
    <t>广东省湛江市经济技术开发区乐山东路35号银隆广场A1601室</t>
  </si>
  <si>
    <t>吴强</t>
  </si>
  <si>
    <t>中山中心支公司</t>
  </si>
  <si>
    <t>中山市</t>
  </si>
  <si>
    <t>中山市东区东苑南路99号一、三、四层</t>
  </si>
  <si>
    <t>谢文静</t>
  </si>
  <si>
    <t>惠州中心支公司</t>
  </si>
  <si>
    <t>惠州市</t>
  </si>
  <si>
    <t>惠城区江北富民路键熙大厦三楼</t>
  </si>
  <si>
    <t>王熙重</t>
  </si>
  <si>
    <t>惠城区江北富民路键熙大厦八楼</t>
  </si>
  <si>
    <t>惠东县多祝镇皇思扬村委春光村</t>
  </si>
  <si>
    <t>肖长甫</t>
  </si>
  <si>
    <t>梅州中心支公司</t>
  </si>
  <si>
    <t>梅州市</t>
  </si>
  <si>
    <t>梅县宪梓大道海风名苑A2栋8号</t>
  </si>
  <si>
    <t>李锦新</t>
  </si>
  <si>
    <t>汕尾中心支公司</t>
  </si>
  <si>
    <t xml:space="preserve">汕尾市 </t>
  </si>
  <si>
    <t>汕尾市城区汕尾大道奎山地段东南侧杰信大厦601、602号</t>
  </si>
  <si>
    <t>罗小羽</t>
  </si>
  <si>
    <t>汕头中心支公司</t>
  </si>
  <si>
    <t>汕头市</t>
  </si>
  <si>
    <t>高新区科技中路13号501之二</t>
  </si>
  <si>
    <t>广东潮汕创业服务有限公司</t>
  </si>
  <si>
    <t>揭阳中心支公司</t>
  </si>
  <si>
    <t>揭阳市</t>
  </si>
  <si>
    <t>东山晓翠路以东临江路以北乐万邦花园157、158号</t>
  </si>
  <si>
    <t>黄赵华</t>
  </si>
  <si>
    <t>45日</t>
  </si>
  <si>
    <t>珠海中心支公司</t>
  </si>
  <si>
    <t>DH0120180135</t>
  </si>
  <si>
    <t>珠海市</t>
  </si>
  <si>
    <t>广东省珠海市香洲区紫荆路188号兴泰大厦二楼</t>
  </si>
  <si>
    <t>广东省珠海市得粮物业咨询有限公司</t>
  </si>
  <si>
    <t>横琴支公司</t>
  </si>
  <si>
    <t>广州中心支公司</t>
  </si>
  <si>
    <t>越秀区先烈中路73号</t>
  </si>
  <si>
    <t>广州市农林实业有限公司</t>
  </si>
  <si>
    <t>肇庆中心支公司</t>
  </si>
  <si>
    <t>肇庆市</t>
  </si>
  <si>
    <t>肇庆市端州区端州二路黄岗街道办事处东侧明星酒店三楼整层</t>
  </si>
  <si>
    <t>李海军</t>
  </si>
  <si>
    <t>河源中心支公司</t>
  </si>
  <si>
    <t>河源市</t>
  </si>
  <si>
    <t>大同路西永福路南碧洋居A栋108-110</t>
  </si>
  <si>
    <t>赖珊</t>
  </si>
  <si>
    <t>东莞中心支公司</t>
  </si>
  <si>
    <t>GZ20162080</t>
  </si>
  <si>
    <t>东莞市</t>
  </si>
  <si>
    <t>广东省东莞市南城区元美东路3号丰泰大厦704-2号、705号</t>
  </si>
  <si>
    <t>东莞市丰泰建设房地产有限公司</t>
  </si>
  <si>
    <t>GZ20180107</t>
  </si>
  <si>
    <t>广东省东莞市常平镇南环路129号、131号</t>
  </si>
  <si>
    <t>尹耀辉、尹伟权</t>
  </si>
  <si>
    <t>GZ20174278</t>
  </si>
  <si>
    <t>广东省东莞市大朗镇洋乌社区富升路54号/1、56号/1</t>
  </si>
  <si>
    <t>叶巧娟</t>
  </si>
  <si>
    <t>南雄市</t>
  </si>
  <si>
    <t>三秀花园瑞和苑天怡阁7号商铺</t>
  </si>
  <si>
    <t>陈泽香</t>
  </si>
  <si>
    <t>开平市</t>
  </si>
  <si>
    <t>三埠长沙曙光东路136号西座105</t>
  </si>
  <si>
    <t>张奕养</t>
  </si>
  <si>
    <t>5.8年</t>
  </si>
  <si>
    <t>新会区</t>
  </si>
  <si>
    <t>会城岗洲大道中12号107</t>
  </si>
  <si>
    <t>司徒向荣</t>
  </si>
  <si>
    <t>黄浦区</t>
  </si>
  <si>
    <t>丰路北路398号</t>
  </si>
  <si>
    <t>广州市黄浦区体育发展中心</t>
  </si>
  <si>
    <t>1.8年</t>
  </si>
  <si>
    <t>花都区</t>
  </si>
  <si>
    <t>商业大道137号</t>
  </si>
  <si>
    <t>刘思妤</t>
  </si>
  <si>
    <t>佛山市禅城区鸿艺建材城E座二层E2号</t>
  </si>
  <si>
    <t>佛山市鸿艺建材城服务管理有限公司</t>
  </si>
  <si>
    <t>佛山市顺德区北滘镇北滘居委会君领世纪花园55号商铺</t>
  </si>
  <si>
    <t>邵小玲</t>
  </si>
  <si>
    <t>佛山市顺德区容桂街道海尾文滘路26号商铺A</t>
  </si>
  <si>
    <t>杨满标</t>
  </si>
  <si>
    <t>JN-2015093001</t>
  </si>
  <si>
    <t>中山市小榄镇永宁丰业路西山三工业区3-097幢中山市金宁机动车交易市场（A3）区</t>
  </si>
  <si>
    <t>中山市金宁机动车交易市场有限公司</t>
  </si>
  <si>
    <t>湖北</t>
  </si>
  <si>
    <t>湖北分公司</t>
  </si>
  <si>
    <t>湖北省</t>
  </si>
  <si>
    <t>武汉</t>
  </si>
  <si>
    <t>武汉市武昌区中北路31号平安财富中心B座22层</t>
  </si>
  <si>
    <t>武汉市平安置业有限公司</t>
  </si>
  <si>
    <t>2016/2/18-2018/4/17</t>
  </si>
  <si>
    <t>宜昌中支</t>
  </si>
  <si>
    <t>宜昌市</t>
  </si>
  <si>
    <t>宜昌市西陵区夷陵大道72号九州大厦A座22层（2208#、2218#）</t>
  </si>
  <si>
    <t>宜昌三峡多能资产管理有限公司</t>
  </si>
  <si>
    <t>黄石中支</t>
  </si>
  <si>
    <t>GZ20140138</t>
  </si>
  <si>
    <t>黄石市</t>
  </si>
  <si>
    <t>黄石港区公园路47号</t>
  </si>
  <si>
    <t>陈玉刚</t>
  </si>
  <si>
    <t>2014/3/1-2014/4/30</t>
  </si>
  <si>
    <t>1-4月每月租金：10783.33元5-9月每月租金：11275元</t>
  </si>
  <si>
    <t>出租方为个人，发票为通用机打发票，不能抵扣</t>
  </si>
  <si>
    <t>荆门中支</t>
  </si>
  <si>
    <t>荆门市</t>
  </si>
  <si>
    <t>掇刀区深圳大道8号1幢5层</t>
  </si>
  <si>
    <t>荆门市三恒房地产开发有限公司</t>
  </si>
  <si>
    <t>2018年列支8个月</t>
  </si>
  <si>
    <t>十堰中支</t>
  </si>
  <si>
    <t>GZ20161261</t>
  </si>
  <si>
    <t>十堰市</t>
  </si>
  <si>
    <t>茅箭区二堰街办北京南路27号7栋1-2</t>
  </si>
  <si>
    <t>十堰华阳力标置业发展有限公司</t>
  </si>
  <si>
    <t>2018年1-5月已摊销到2017年</t>
  </si>
  <si>
    <t>襄阳中支</t>
  </si>
  <si>
    <t>襄阳市</t>
  </si>
  <si>
    <t>樊城区卧龙大道86号环球金融城2栋2单元11层03、04、05号</t>
  </si>
  <si>
    <t>襄阳市京华置地有限公司</t>
  </si>
  <si>
    <t>2018年核销了2017.11.1-2017.12.31日租金</t>
  </si>
  <si>
    <t>潜江支公司</t>
  </si>
  <si>
    <t>潜江市</t>
  </si>
  <si>
    <t>园林办事处潜阳西路55号潜江天驰汽车大市场C-208</t>
  </si>
  <si>
    <t>潜江市天驰汽车大市场有限公司</t>
  </si>
  <si>
    <t>武汉中支</t>
  </si>
  <si>
    <t>东西湖区金银湖路18号财富大厦3层西侧308、309、310室</t>
  </si>
  <si>
    <t>圣源祥保险代理有限公司湖北分公司</t>
  </si>
  <si>
    <t>荆州中支</t>
  </si>
  <si>
    <t>GZ20173029</t>
  </si>
  <si>
    <t>荆州市</t>
  </si>
  <si>
    <t>沙市区太岳路14号郁金花园三楼</t>
  </si>
  <si>
    <t>湖北金乾诚房地产开发有限公司</t>
  </si>
  <si>
    <t>东西湖营销服务部</t>
  </si>
  <si>
    <t>东西湖区金银湖路18号财富大厦3层西侧306、307室</t>
  </si>
  <si>
    <t>宜城支公司</t>
  </si>
  <si>
    <t>宜城市</t>
  </si>
  <si>
    <t>宜城市公安局家属区一号楼门面</t>
  </si>
  <si>
    <t>宜城市奎盼鑫房地产有限责任公司</t>
  </si>
  <si>
    <t>原职场费用要涨价，因此8月份终止合同</t>
  </si>
  <si>
    <t>襄阳市樊城区卧龙大道86号</t>
  </si>
  <si>
    <t>宜城市燕京大道81号</t>
  </si>
  <si>
    <t>宜城市珺楚商贸服务有限公司</t>
  </si>
  <si>
    <t>合同还在走程序当中</t>
  </si>
  <si>
    <t>合计</t>
  </si>
  <si>
    <t>鼎和保险毕节支公司职场清洁卫生服务报价单</t>
  </si>
  <si>
    <t>职场清洁卫生服务内容</t>
  </si>
  <si>
    <t>最高限价/每月</t>
  </si>
  <si>
    <t>最高限价/每年</t>
  </si>
  <si>
    <t>服务期限</t>
  </si>
  <si>
    <t xml:space="preserve"> 1.对职场的前台、职场公共区域、洽谈室、总经理室卫生进行定期清洁。          2.对职场区域的绿植定期养护和管理。           3.定期对职场内沙发，木质家具进行养护。</t>
  </si>
  <si>
    <t>1500/月</t>
  </si>
  <si>
    <t>18000/月</t>
  </si>
  <si>
    <t xml:space="preserve">      1年</t>
  </si>
  <si>
    <t>报 价 方 总 价
报 价 （ 包 含
税 ） 不 可 超
过 最 高 限 金
额</t>
  </si>
  <si>
    <t>注：结算方式：每月开具等额的增值税专用发票实结算。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</si>
</sst>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  <numFmt numFmtId="177" formatCode="\¥#,##0.00;[Red]\¥\-#,##0.00"/>
  </numFmts>
  <fonts count="5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Arial"/>
      <charset val="134"/>
    </font>
    <font>
      <b/>
      <sz val="9"/>
      <color theme="1"/>
      <name val="Arial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2"/>
      <color theme="1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u/>
      <sz val="11"/>
      <color indexed="12"/>
      <name val="Calibri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10"/>
      <name val="Helv"/>
      <charset val="134"/>
    </font>
    <font>
      <b/>
      <sz val="9"/>
      <color theme="1"/>
      <name val="宋体"/>
      <charset val="134"/>
    </font>
    <font>
      <sz val="9"/>
      <name val="Tahoma"/>
      <charset val="134"/>
    </font>
    <font>
      <b/>
      <sz val="9"/>
      <name val="宋体"/>
      <charset val="134"/>
    </font>
    <font>
      <b/>
      <sz val="9"/>
      <name val="Tahoma"/>
      <charset val="134"/>
    </font>
    <font>
      <sz val="9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8" applyNumberFormat="0" applyAlignment="0" applyProtection="0">
      <alignment vertical="center"/>
    </xf>
    <xf numFmtId="0" fontId="22" fillId="6" borderId="19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7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35" borderId="0" applyNumberFormat="0" applyBorder="0" applyAlignment="0" applyProtection="0">
      <alignment vertical="center"/>
    </xf>
    <xf numFmtId="0" fontId="34" fillId="36" borderId="23" applyNumberFormat="0" applyAlignment="0" applyProtection="0">
      <alignment vertical="center"/>
    </xf>
    <xf numFmtId="0" fontId="35" fillId="0" borderId="0"/>
    <xf numFmtId="43" fontId="0" fillId="0" borderId="0" applyFont="0" applyFill="0" applyBorder="0" applyAlignment="0" applyProtection="0"/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6" fillId="36" borderId="24" applyNumberFormat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43" fontId="33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40" fillId="0" borderId="0">
      <alignment vertical="center"/>
    </xf>
    <xf numFmtId="0" fontId="10" fillId="0" borderId="0">
      <protection locked="0"/>
    </xf>
    <xf numFmtId="0" fontId="0" fillId="0" borderId="0">
      <alignment vertical="center"/>
    </xf>
    <xf numFmtId="0" fontId="33" fillId="0" borderId="0">
      <alignment vertical="center"/>
    </xf>
    <xf numFmtId="0" fontId="35" fillId="0" borderId="0">
      <alignment vertical="center"/>
    </xf>
    <xf numFmtId="0" fontId="41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39" fillId="0" borderId="2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6" fillId="43" borderId="0" applyNumberFormat="0" applyBorder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51" borderId="29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52" fillId="45" borderId="23" applyNumberFormat="0" applyAlignment="0" applyProtection="0">
      <alignment vertical="center"/>
    </xf>
    <xf numFmtId="0" fontId="53" fillId="0" borderId="0"/>
    <xf numFmtId="0" fontId="53" fillId="0" borderId="0"/>
    <xf numFmtId="0" fontId="33" fillId="56" borderId="31" applyNumberFormat="0" applyFont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49" fontId="6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43" fontId="7" fillId="0" borderId="1" xfId="1" applyNumberFormat="1" applyFont="1" applyFill="1" applyBorder="1" applyAlignment="1" applyProtection="1">
      <alignment vertical="center"/>
      <protection locked="0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43" fontId="7" fillId="0" borderId="1" xfId="1" applyNumberFormat="1" applyFont="1" applyFill="1" applyBorder="1" applyAlignment="1" applyProtection="1">
      <alignment horizontal="left" vertical="center"/>
      <protection locked="0"/>
    </xf>
    <xf numFmtId="176" fontId="6" fillId="2" borderId="6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3" fontId="6" fillId="2" borderId="3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6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3" fontId="6" fillId="2" borderId="5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4" fontId="10" fillId="0" borderId="1" xfId="1" applyNumberFormat="1" applyFont="1" applyFill="1" applyBorder="1" applyAlignment="1" applyProtection="1">
      <alignment horizontal="left" vertical="center"/>
      <protection locked="0"/>
    </xf>
    <xf numFmtId="0" fontId="8" fillId="0" borderId="1" xfId="0" applyFont="1" applyBorder="1">
      <alignment vertical="center"/>
    </xf>
    <xf numFmtId="43" fontId="8" fillId="0" borderId="1" xfId="0" applyNumberFormat="1" applyFont="1" applyBorder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3" fontId="6" fillId="2" borderId="4" xfId="0" applyNumberFormat="1" applyFont="1" applyFill="1" applyBorder="1" applyAlignment="1">
      <alignment vertical="center" wrapText="1"/>
    </xf>
    <xf numFmtId="43" fontId="6" fillId="2" borderId="5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43" fontId="8" fillId="0" borderId="1" xfId="0" applyNumberFormat="1" applyFont="1" applyFill="1" applyBorder="1">
      <alignment vertical="center"/>
    </xf>
    <xf numFmtId="43" fontId="8" fillId="3" borderId="1" xfId="0" applyNumberFormat="1" applyFont="1" applyFill="1" applyBorder="1">
      <alignment vertical="center"/>
    </xf>
    <xf numFmtId="43" fontId="8" fillId="0" borderId="1" xfId="1" applyFont="1" applyBorder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0" fontId="12" fillId="0" borderId="0" xfId="0" applyNumberFormat="1" applyFont="1">
      <alignment vertical="center"/>
    </xf>
    <xf numFmtId="10" fontId="0" fillId="0" borderId="0" xfId="0" applyNumberForma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10" fontId="12" fillId="0" borderId="0" xfId="3" applyNumberFormat="1" applyFont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177" fontId="0" fillId="0" borderId="0" xfId="0" applyNumberFormat="1" applyBorder="1">
      <alignment vertical="center"/>
    </xf>
    <xf numFmtId="177" fontId="0" fillId="0" borderId="0" xfId="0" applyNumberFormat="1">
      <alignment vertical="center"/>
    </xf>
    <xf numFmtId="43" fontId="12" fillId="0" borderId="0" xfId="0" applyNumberFormat="1" applyFont="1">
      <alignment vertical="center"/>
    </xf>
    <xf numFmtId="43" fontId="12" fillId="0" borderId="0" xfId="1" applyFont="1">
      <alignment vertical="center"/>
    </xf>
    <xf numFmtId="43" fontId="0" fillId="0" borderId="0" xfId="1" applyFont="1">
      <alignment vertical="center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3 4" xfId="49"/>
    <cellStyle name="20% - 强调文字颜色 1 2" xfId="50"/>
    <cellStyle name="计算 2" xfId="51"/>
    <cellStyle name="?鹎%U龡&amp;H?_x0008_e_x0005_9_x0006__x0007__x0001__x0001_" xfId="52"/>
    <cellStyle name="Comma 2" xfId="53"/>
    <cellStyle name="40% - 强调文字颜色 4 2" xfId="54"/>
    <cellStyle name="40% - 强调文字颜色 1 2" xfId="55"/>
    <cellStyle name="40% - 强调文字颜色 2 2" xfId="56"/>
    <cellStyle name="40% - 强调文字颜色 5 2" xfId="57"/>
    <cellStyle name="输出 2" xfId="58"/>
    <cellStyle name="适中 2" xfId="59"/>
    <cellStyle name="40% - 强调文字颜色 6 2" xfId="60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60% - 强调文字颜色 3 2" xfId="70"/>
    <cellStyle name="60% - 强调文字颜色 4 2" xfId="71"/>
    <cellStyle name="60% - 强调文字颜色 5 2" xfId="72"/>
    <cellStyle name="60% - 强调文字颜色 6 2" xfId="73"/>
    <cellStyle name="Comma 2 2" xfId="74"/>
    <cellStyle name="标题 4 2" xfId="75"/>
    <cellStyle name="Normal 2 4" xfId="76"/>
    <cellStyle name="Normal 2 4 2" xfId="77"/>
    <cellStyle name="Normal 3" xfId="78"/>
    <cellStyle name="Normal 3 2" xfId="79"/>
    <cellStyle name="Normal 3 3" xfId="80"/>
    <cellStyle name="Normal 3 3 2" xfId="81"/>
    <cellStyle name="Normal 4" xfId="82"/>
    <cellStyle name="标题 1 2" xfId="83"/>
    <cellStyle name="标题 2 2" xfId="84"/>
    <cellStyle name="标题 3 2" xfId="85"/>
    <cellStyle name="标题 5" xfId="86"/>
    <cellStyle name="差 2" xfId="87"/>
    <cellStyle name="常规 2" xfId="88"/>
    <cellStyle name="常规 2 2" xfId="89"/>
    <cellStyle name="超链接 2" xfId="90"/>
    <cellStyle name="好 2" xfId="91"/>
    <cellStyle name="汇总 2" xfId="92"/>
    <cellStyle name="检查单元格 2" xfId="93"/>
    <cellStyle name="解释性文本 2" xfId="94"/>
    <cellStyle name="警告文本 2" xfId="95"/>
    <cellStyle name="链接单元格 2" xfId="96"/>
    <cellStyle name="千位分隔 2" xfId="97"/>
    <cellStyle name="千位分隔 2 2" xfId="98"/>
    <cellStyle name="千位分隔 6" xfId="99"/>
    <cellStyle name="强调文字颜色 1 2" xfId="100"/>
    <cellStyle name="强调文字颜色 2 2" xfId="101"/>
    <cellStyle name="强调文字颜色 3 2" xfId="102"/>
    <cellStyle name="强调文字颜色 4 2" xfId="103"/>
    <cellStyle name="强调文字颜色 5 2" xfId="104"/>
    <cellStyle name="强调文字颜色 6 2" xfId="105"/>
    <cellStyle name="输入 2" xfId="106"/>
    <cellStyle name="样式 1" xfId="107"/>
    <cellStyle name="样式 1 2" xfId="108"/>
    <cellStyle name="注释 2" xfId="10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C000"/>
  </sheetPr>
  <dimension ref="A1:AI175"/>
  <sheetViews>
    <sheetView workbookViewId="0">
      <pane ySplit="3" topLeftCell="A4" activePane="bottomLeft" state="frozen"/>
      <selection/>
      <selection pane="bottomLeft" activeCell="AG4" sqref="AG4"/>
    </sheetView>
  </sheetViews>
  <sheetFormatPr defaultColWidth="9" defaultRowHeight="13.5"/>
  <cols>
    <col min="1" max="1" width="4.5" customWidth="1"/>
    <col min="2" max="2" width="8.875" customWidth="1"/>
    <col min="3" max="3" width="9.25" customWidth="1"/>
    <col min="4" max="4" width="11.25" style="11" customWidth="1"/>
    <col min="5" max="5" width="7" style="9" customWidth="1"/>
    <col min="6" max="6" width="7" customWidth="1"/>
    <col min="7" max="8" width="10.25" style="9" customWidth="1"/>
    <col min="9" max="9" width="10.5" customWidth="1"/>
    <col min="10" max="10" width="8.375" customWidth="1"/>
    <col min="11" max="11" width="10.5" style="12" customWidth="1"/>
    <col min="12" max="12" width="11.25" style="12" customWidth="1"/>
    <col min="13" max="13" width="11.25" customWidth="1"/>
    <col min="14" max="14" width="6.125" customWidth="1"/>
    <col min="15" max="15" width="13.875" style="13" customWidth="1"/>
    <col min="17" max="17" width="16.25" style="13" customWidth="1"/>
    <col min="18" max="18" width="16.125" style="13" customWidth="1"/>
    <col min="19" max="20" width="13.875" style="13" customWidth="1"/>
    <col min="21" max="21" width="16.125" style="13" customWidth="1"/>
    <col min="22" max="22" width="18.375" customWidth="1"/>
    <col min="23" max="23" width="21.875" customWidth="1"/>
    <col min="24" max="24" width="23" customWidth="1"/>
    <col min="25" max="25" width="21.5" customWidth="1"/>
    <col min="26" max="26" width="24.75" customWidth="1"/>
    <col min="27" max="27" width="22.375" customWidth="1"/>
    <col min="28" max="28" width="16.375" customWidth="1"/>
    <col min="29" max="29" width="17.25" customWidth="1"/>
    <col min="30" max="30" width="19.25" customWidth="1"/>
    <col min="31" max="32" width="15" customWidth="1"/>
    <col min="34" max="34" width="13" customWidth="1"/>
    <col min="35" max="35" width="11" customWidth="1"/>
  </cols>
  <sheetData>
    <row r="1" ht="14.25"/>
    <row r="2" spans="1:31">
      <c r="A2" s="14" t="s">
        <v>0</v>
      </c>
      <c r="B2" s="15" t="s">
        <v>1</v>
      </c>
      <c r="C2" s="16"/>
      <c r="D2" s="17" t="s">
        <v>2</v>
      </c>
      <c r="E2" s="18" t="s">
        <v>3</v>
      </c>
      <c r="F2" s="19"/>
      <c r="G2" s="20" t="s">
        <v>4</v>
      </c>
      <c r="H2" s="21" t="s">
        <v>5</v>
      </c>
      <c r="I2" s="34" t="s">
        <v>6</v>
      </c>
      <c r="J2" s="35" t="s">
        <v>7</v>
      </c>
      <c r="K2" s="36" t="s">
        <v>8</v>
      </c>
      <c r="L2" s="36" t="s">
        <v>9</v>
      </c>
      <c r="M2" s="37" t="s">
        <v>10</v>
      </c>
      <c r="N2" s="19" t="s">
        <v>11</v>
      </c>
      <c r="O2" s="38" t="s">
        <v>12</v>
      </c>
      <c r="P2" s="39" t="s">
        <v>13</v>
      </c>
      <c r="Q2" s="52" t="s">
        <v>14</v>
      </c>
      <c r="R2" s="53"/>
      <c r="S2" s="53"/>
      <c r="T2" s="53"/>
      <c r="U2" s="53"/>
      <c r="V2" s="53"/>
      <c r="W2" s="53" t="s">
        <v>15</v>
      </c>
      <c r="X2" s="53"/>
      <c r="Y2" s="53"/>
      <c r="Z2" s="53"/>
      <c r="AA2" s="60"/>
      <c r="AB2" s="61"/>
      <c r="AC2" s="62">
        <v>0.0475</v>
      </c>
      <c r="AD2" t="s">
        <v>16</v>
      </c>
      <c r="AE2" s="63">
        <v>0.0475</v>
      </c>
    </row>
    <row r="3" ht="34.5" spans="1:35">
      <c r="A3" s="22"/>
      <c r="B3" s="23" t="s">
        <v>17</v>
      </c>
      <c r="C3" s="23" t="s">
        <v>18</v>
      </c>
      <c r="D3" s="24"/>
      <c r="E3" s="25" t="s">
        <v>19</v>
      </c>
      <c r="F3" s="25" t="s">
        <v>20</v>
      </c>
      <c r="G3" s="26"/>
      <c r="H3" s="27"/>
      <c r="I3" s="40"/>
      <c r="J3" s="41"/>
      <c r="K3" s="42"/>
      <c r="L3" s="42"/>
      <c r="M3" s="43"/>
      <c r="N3" s="44"/>
      <c r="O3" s="45"/>
      <c r="P3" s="46"/>
      <c r="Q3" s="54" t="s">
        <v>21</v>
      </c>
      <c r="R3" s="55" t="s">
        <v>22</v>
      </c>
      <c r="S3" s="55" t="s">
        <v>23</v>
      </c>
      <c r="T3" s="55" t="s">
        <v>24</v>
      </c>
      <c r="U3" s="55" t="s">
        <v>25</v>
      </c>
      <c r="V3" s="26" t="s">
        <v>26</v>
      </c>
      <c r="W3" s="56" t="s">
        <v>27</v>
      </c>
      <c r="X3" s="56" t="s">
        <v>28</v>
      </c>
      <c r="Y3" s="56" t="s">
        <v>29</v>
      </c>
      <c r="Z3" s="56" t="s">
        <v>30</v>
      </c>
      <c r="AA3" s="56" t="s">
        <v>31</v>
      </c>
      <c r="AB3" s="64" t="s">
        <v>32</v>
      </c>
      <c r="AC3" s="65" t="s">
        <v>33</v>
      </c>
      <c r="AD3" s="66" t="s">
        <v>34</v>
      </c>
      <c r="AE3" t="s">
        <v>35</v>
      </c>
      <c r="AF3" t="s">
        <v>36</v>
      </c>
      <c r="AG3" t="s">
        <v>37</v>
      </c>
      <c r="AH3" t="s">
        <v>38</v>
      </c>
      <c r="AI3" t="s">
        <v>39</v>
      </c>
    </row>
    <row r="4" s="10" customFormat="1" spans="1:32">
      <c r="A4" s="28">
        <v>1</v>
      </c>
      <c r="B4" s="29" t="s">
        <v>40</v>
      </c>
      <c r="C4" s="29"/>
      <c r="D4" s="30"/>
      <c r="E4" s="31" t="s">
        <v>41</v>
      </c>
      <c r="F4" s="32" t="s">
        <v>42</v>
      </c>
      <c r="G4" s="33" t="s">
        <v>43</v>
      </c>
      <c r="H4" s="31" t="s">
        <v>44</v>
      </c>
      <c r="I4" s="47">
        <v>42257</v>
      </c>
      <c r="J4" s="48">
        <v>5</v>
      </c>
      <c r="K4" s="49">
        <v>42257</v>
      </c>
      <c r="L4" s="49">
        <v>44448</v>
      </c>
      <c r="M4" s="50" t="s">
        <v>45</v>
      </c>
      <c r="N4" s="50"/>
      <c r="O4" s="51">
        <f>59.4*1204</f>
        <v>71517.6</v>
      </c>
      <c r="P4" s="50" t="s">
        <v>46</v>
      </c>
      <c r="Q4" s="57">
        <f>O4*9</f>
        <v>643658.4</v>
      </c>
      <c r="R4" s="51"/>
      <c r="S4" s="51">
        <f>544896+68112</f>
        <v>613008</v>
      </c>
      <c r="T4" s="51">
        <f>O4/1.05*3</f>
        <v>204336</v>
      </c>
      <c r="U4" s="58">
        <f>R4+S4+T4</f>
        <v>817344</v>
      </c>
      <c r="V4" s="50"/>
      <c r="W4" s="59">
        <f>71517.6/1.05*8+78669.36/1.05*4</f>
        <v>844588.8</v>
      </c>
      <c r="X4" s="59">
        <f>78669.36/1.05*12</f>
        <v>899078.4</v>
      </c>
      <c r="Y4" s="59">
        <f>78669.36/1.05*8</f>
        <v>599385.6</v>
      </c>
      <c r="Z4" s="50"/>
      <c r="AA4" s="50"/>
      <c r="AB4" s="50"/>
      <c r="AC4" s="67">
        <f>NPV(4.75%,W4:AA4)</f>
        <v>2147165.70663327</v>
      </c>
      <c r="AD4" s="67">
        <f>AC4/3</f>
        <v>715721.90221109</v>
      </c>
      <c r="AE4" s="67">
        <f>AC4</f>
        <v>2147165.70663327</v>
      </c>
      <c r="AF4" s="67">
        <f>AC4</f>
        <v>2147165.70663327</v>
      </c>
    </row>
    <row r="5" spans="1:30">
      <c r="A5" s="28">
        <v>2</v>
      </c>
      <c r="B5" s="29" t="s">
        <v>47</v>
      </c>
      <c r="C5" s="29" t="s">
        <v>48</v>
      </c>
      <c r="D5" s="30" t="s">
        <v>49</v>
      </c>
      <c r="E5" s="31" t="s">
        <v>50</v>
      </c>
      <c r="F5" s="32" t="s">
        <v>51</v>
      </c>
      <c r="G5" s="33" t="s">
        <v>52</v>
      </c>
      <c r="H5" s="31" t="s">
        <v>53</v>
      </c>
      <c r="I5" s="47">
        <v>42552</v>
      </c>
      <c r="J5" s="48" t="s">
        <v>54</v>
      </c>
      <c r="K5" s="49">
        <v>42552</v>
      </c>
      <c r="L5" s="49">
        <v>44377</v>
      </c>
      <c r="M5" s="50"/>
      <c r="N5" s="50" t="s">
        <v>55</v>
      </c>
      <c r="O5" s="51">
        <v>48339.9</v>
      </c>
      <c r="P5" s="50"/>
      <c r="Q5" s="57">
        <v>448243.75</v>
      </c>
      <c r="R5" s="51">
        <v>436199.26</v>
      </c>
      <c r="S5" s="51">
        <v>12044.49</v>
      </c>
      <c r="T5" s="51">
        <v>131835</v>
      </c>
      <c r="U5" s="58">
        <f t="shared" ref="U5:U9" si="0">R5+S5+T5</f>
        <v>580078.75</v>
      </c>
      <c r="V5" s="50" t="s">
        <v>56</v>
      </c>
      <c r="W5" s="59">
        <v>622263.58</v>
      </c>
      <c r="X5" s="59">
        <v>681073.99</v>
      </c>
      <c r="Y5" s="59">
        <v>348849.79</v>
      </c>
      <c r="Z5" s="50"/>
      <c r="AA5" s="50"/>
      <c r="AB5" s="50"/>
      <c r="AC5" s="67">
        <f t="shared" ref="AC5:AC68" si="1">NPV(4.75%,W5:AA5)</f>
        <v>1518265.14164367</v>
      </c>
      <c r="AD5" s="67">
        <f>AC5/3</f>
        <v>506088.380547891</v>
      </c>
    </row>
    <row r="6" spans="1:30">
      <c r="A6" s="28">
        <v>3</v>
      </c>
      <c r="B6" s="29" t="s">
        <v>47</v>
      </c>
      <c r="C6" s="29" t="s">
        <v>57</v>
      </c>
      <c r="D6" s="30" t="s">
        <v>58</v>
      </c>
      <c r="E6" s="31" t="s">
        <v>50</v>
      </c>
      <c r="F6" s="32" t="s">
        <v>59</v>
      </c>
      <c r="G6" s="33" t="s">
        <v>60</v>
      </c>
      <c r="H6" s="31" t="s">
        <v>61</v>
      </c>
      <c r="I6" s="47">
        <v>43070</v>
      </c>
      <c r="J6" s="48" t="s">
        <v>54</v>
      </c>
      <c r="K6" s="49">
        <v>43070</v>
      </c>
      <c r="L6" s="49">
        <v>44895</v>
      </c>
      <c r="M6" s="50"/>
      <c r="N6" s="50" t="s">
        <v>62</v>
      </c>
      <c r="O6" s="51">
        <v>14328.49</v>
      </c>
      <c r="P6" s="50"/>
      <c r="Q6" s="57">
        <v>128956.41</v>
      </c>
      <c r="R6" s="51">
        <v>85970.94</v>
      </c>
      <c r="S6" s="51">
        <v>0</v>
      </c>
      <c r="T6" s="51">
        <v>85970.94</v>
      </c>
      <c r="U6" s="58">
        <f t="shared" si="0"/>
        <v>171941.88</v>
      </c>
      <c r="V6" s="50" t="s">
        <v>63</v>
      </c>
      <c r="W6" s="50">
        <v>181159.92</v>
      </c>
      <c r="X6" s="50">
        <v>190209.09</v>
      </c>
      <c r="Y6" s="50">
        <v>199719.55</v>
      </c>
      <c r="Z6" s="50">
        <v>191450</v>
      </c>
      <c r="AA6" s="50"/>
      <c r="AB6" s="50"/>
      <c r="AC6" s="67">
        <f t="shared" si="1"/>
        <v>679073.667552809</v>
      </c>
      <c r="AD6" s="68">
        <f>AC6/4</f>
        <v>169768.416888202</v>
      </c>
    </row>
    <row r="7" s="10" customFormat="1" spans="1:30">
      <c r="A7" s="28">
        <v>4</v>
      </c>
      <c r="B7" s="29" t="s">
        <v>47</v>
      </c>
      <c r="C7" s="29" t="s">
        <v>64</v>
      </c>
      <c r="D7" s="30" t="s">
        <v>65</v>
      </c>
      <c r="E7" s="31" t="s">
        <v>50</v>
      </c>
      <c r="F7" s="32" t="s">
        <v>66</v>
      </c>
      <c r="G7" s="33" t="s">
        <v>67</v>
      </c>
      <c r="H7" s="31" t="s">
        <v>68</v>
      </c>
      <c r="I7" s="47">
        <v>43334</v>
      </c>
      <c r="J7" s="48" t="s">
        <v>69</v>
      </c>
      <c r="K7" s="49">
        <v>43335</v>
      </c>
      <c r="L7" s="49">
        <v>44430</v>
      </c>
      <c r="M7" s="50"/>
      <c r="N7" s="50" t="s">
        <v>55</v>
      </c>
      <c r="O7" s="51">
        <v>14669.76</v>
      </c>
      <c r="P7" s="50"/>
      <c r="Q7" s="57">
        <v>14669.76</v>
      </c>
      <c r="R7" s="51">
        <v>176037.1</v>
      </c>
      <c r="S7" s="51">
        <v>0</v>
      </c>
      <c r="T7" s="51">
        <v>0</v>
      </c>
      <c r="U7" s="58">
        <f t="shared" si="0"/>
        <v>176037.1</v>
      </c>
      <c r="V7" s="50" t="s">
        <v>70</v>
      </c>
      <c r="W7" s="59">
        <v>58679.04</v>
      </c>
      <c r="X7" s="59">
        <v>176037.1</v>
      </c>
      <c r="Y7" s="59">
        <v>117358.08</v>
      </c>
      <c r="Z7" s="50"/>
      <c r="AA7" s="50"/>
      <c r="AB7" s="50"/>
      <c r="AC7" s="67">
        <f t="shared" si="1"/>
        <v>318557.991920262</v>
      </c>
      <c r="AD7" s="67">
        <f>AC7/3</f>
        <v>106185.997306754</v>
      </c>
    </row>
    <row r="8" s="10" customFormat="1" spans="1:30">
      <c r="A8" s="28">
        <v>5</v>
      </c>
      <c r="B8" s="29" t="s">
        <v>71</v>
      </c>
      <c r="C8" s="29" t="s">
        <v>72</v>
      </c>
      <c r="D8" s="30" t="s">
        <v>73</v>
      </c>
      <c r="E8" s="31" t="s">
        <v>74</v>
      </c>
      <c r="F8" s="32" t="s">
        <v>75</v>
      </c>
      <c r="G8" s="33" t="s">
        <v>76</v>
      </c>
      <c r="H8" s="31" t="s">
        <v>77</v>
      </c>
      <c r="I8" s="47">
        <v>42537</v>
      </c>
      <c r="J8" s="48" t="s">
        <v>78</v>
      </c>
      <c r="K8" s="49">
        <v>42537</v>
      </c>
      <c r="L8" s="49">
        <v>45458</v>
      </c>
      <c r="M8" s="50"/>
      <c r="N8" s="50" t="s">
        <v>62</v>
      </c>
      <c r="O8" s="51">
        <f>122898.1</f>
        <v>122898.1</v>
      </c>
      <c r="P8" s="50"/>
      <c r="Q8" s="57">
        <f>O8*9</f>
        <v>1106082.9</v>
      </c>
      <c r="R8" s="51">
        <v>826863.18</v>
      </c>
      <c r="S8" s="51"/>
      <c r="T8" s="51">
        <f>805455*1.05</f>
        <v>845727.75</v>
      </c>
      <c r="U8" s="58">
        <f t="shared" si="0"/>
        <v>1672590.93</v>
      </c>
      <c r="V8" s="50"/>
      <c r="W8" s="59">
        <f>805455+850833</f>
        <v>1656288</v>
      </c>
      <c r="X8" s="59">
        <f>850833+896211</f>
        <v>1747044</v>
      </c>
      <c r="Y8" s="59">
        <f>896211+941589</f>
        <v>1837800</v>
      </c>
      <c r="Z8" s="50">
        <f>941589+986966</f>
        <v>1928555</v>
      </c>
      <c r="AA8" s="50">
        <f>986966+1032344</f>
        <v>2019310</v>
      </c>
      <c r="AB8" s="50">
        <v>1032344</v>
      </c>
      <c r="AC8" s="67">
        <f t="shared" si="1"/>
        <v>7975310.88365698</v>
      </c>
      <c r="AD8" s="67">
        <f>AC8/5</f>
        <v>1595062.1767314</v>
      </c>
    </row>
    <row r="9" s="10" customFormat="1" spans="1:30">
      <c r="A9" s="28">
        <v>6</v>
      </c>
      <c r="B9" s="29" t="s">
        <v>71</v>
      </c>
      <c r="C9" s="29" t="s">
        <v>72</v>
      </c>
      <c r="D9" s="30" t="s">
        <v>79</v>
      </c>
      <c r="E9" s="31" t="s">
        <v>74</v>
      </c>
      <c r="F9" s="32" t="s">
        <v>80</v>
      </c>
      <c r="G9" s="33" t="s">
        <v>81</v>
      </c>
      <c r="H9" s="31" t="s">
        <v>82</v>
      </c>
      <c r="I9" s="47">
        <v>43312</v>
      </c>
      <c r="J9" s="48" t="s">
        <v>83</v>
      </c>
      <c r="K9" s="49">
        <v>43313</v>
      </c>
      <c r="L9" s="49">
        <v>43677</v>
      </c>
      <c r="M9" s="50"/>
      <c r="N9" s="50" t="s">
        <v>62</v>
      </c>
      <c r="O9" s="51">
        <v>6025.2</v>
      </c>
      <c r="P9" s="50"/>
      <c r="Q9" s="57">
        <v>6025</v>
      </c>
      <c r="R9" s="51"/>
      <c r="S9" s="51"/>
      <c r="T9" s="51">
        <v>30125</v>
      </c>
      <c r="U9" s="58">
        <f t="shared" si="0"/>
        <v>30125</v>
      </c>
      <c r="V9" s="50"/>
      <c r="W9" s="59">
        <f>Q9*7</f>
        <v>42175</v>
      </c>
      <c r="X9" s="59"/>
      <c r="Y9" s="59"/>
      <c r="Z9" s="50"/>
      <c r="AA9" s="50"/>
      <c r="AB9" s="50"/>
      <c r="AC9" s="67">
        <f t="shared" si="1"/>
        <v>40262.5298329356</v>
      </c>
      <c r="AD9" s="67">
        <f>AC9/1</f>
        <v>40262.5298329356</v>
      </c>
    </row>
    <row r="10" s="10" customFormat="1" spans="1:29">
      <c r="A10" s="28">
        <v>7</v>
      </c>
      <c r="B10" s="29" t="s">
        <v>71</v>
      </c>
      <c r="C10" s="29" t="s">
        <v>72</v>
      </c>
      <c r="D10" s="30" t="s">
        <v>84</v>
      </c>
      <c r="E10" s="31" t="s">
        <v>74</v>
      </c>
      <c r="F10" s="32" t="s">
        <v>80</v>
      </c>
      <c r="G10" s="33" t="s">
        <v>85</v>
      </c>
      <c r="H10" s="31" t="s">
        <v>86</v>
      </c>
      <c r="I10" s="47">
        <v>43132</v>
      </c>
      <c r="J10" s="48" t="s">
        <v>87</v>
      </c>
      <c r="K10" s="49">
        <v>43132</v>
      </c>
      <c r="L10" s="49">
        <v>43343</v>
      </c>
      <c r="M10" s="50"/>
      <c r="N10" s="50" t="s">
        <v>62</v>
      </c>
      <c r="O10" s="51">
        <v>11346.29</v>
      </c>
      <c r="P10" s="50"/>
      <c r="Q10" s="57">
        <v>79424.03</v>
      </c>
      <c r="R10" s="51"/>
      <c r="S10" s="51"/>
      <c r="T10" s="51">
        <v>79424.03</v>
      </c>
      <c r="U10" s="58">
        <f t="shared" ref="U10:U31" si="2">R10+S10+T10</f>
        <v>79424.03</v>
      </c>
      <c r="V10" s="50"/>
      <c r="W10" s="59"/>
      <c r="X10" s="59"/>
      <c r="Y10" s="59"/>
      <c r="Z10" s="50"/>
      <c r="AA10" s="50"/>
      <c r="AB10" s="50"/>
      <c r="AC10" s="67">
        <f t="shared" si="1"/>
        <v>0</v>
      </c>
    </row>
    <row r="11" s="10" customFormat="1" spans="1:30">
      <c r="A11" s="28">
        <v>8</v>
      </c>
      <c r="B11" s="29" t="s">
        <v>71</v>
      </c>
      <c r="C11" s="29" t="s">
        <v>72</v>
      </c>
      <c r="D11" s="30" t="s">
        <v>88</v>
      </c>
      <c r="E11" s="31" t="s">
        <v>74</v>
      </c>
      <c r="F11" s="32" t="s">
        <v>89</v>
      </c>
      <c r="G11" s="33" t="s">
        <v>90</v>
      </c>
      <c r="H11" s="31" t="s">
        <v>91</v>
      </c>
      <c r="I11" s="47">
        <v>41714</v>
      </c>
      <c r="J11" s="48" t="s">
        <v>54</v>
      </c>
      <c r="K11" s="49">
        <v>41714</v>
      </c>
      <c r="L11" s="49">
        <v>43539</v>
      </c>
      <c r="M11" s="50"/>
      <c r="N11" s="50" t="s">
        <v>92</v>
      </c>
      <c r="O11" s="51">
        <v>9813.92</v>
      </c>
      <c r="P11" s="50"/>
      <c r="Q11" s="57">
        <v>58883.52</v>
      </c>
      <c r="R11" s="51">
        <v>50471.58</v>
      </c>
      <c r="S11" s="51">
        <v>5607.96</v>
      </c>
      <c r="T11" s="51">
        <v>29441.75</v>
      </c>
      <c r="U11" s="58">
        <f t="shared" si="2"/>
        <v>85521.29</v>
      </c>
      <c r="V11" s="50"/>
      <c r="W11" s="59">
        <f>O11*3</f>
        <v>29441.76</v>
      </c>
      <c r="X11" s="59"/>
      <c r="Y11" s="59"/>
      <c r="Z11" s="50"/>
      <c r="AA11" s="50"/>
      <c r="AB11" s="50"/>
      <c r="AC11" s="67">
        <f t="shared" si="1"/>
        <v>28106.692124105</v>
      </c>
      <c r="AD11" s="67">
        <f>AC11/1</f>
        <v>28106.692124105</v>
      </c>
    </row>
    <row r="12" s="10" customFormat="1" spans="1:29">
      <c r="A12" s="28">
        <v>9</v>
      </c>
      <c r="B12" s="29" t="s">
        <v>71</v>
      </c>
      <c r="C12" s="29" t="s">
        <v>72</v>
      </c>
      <c r="D12" s="30" t="s">
        <v>93</v>
      </c>
      <c r="E12" s="31" t="s">
        <v>74</v>
      </c>
      <c r="F12" s="32" t="s">
        <v>94</v>
      </c>
      <c r="G12" s="33" t="s">
        <v>95</v>
      </c>
      <c r="H12" s="31" t="s">
        <v>96</v>
      </c>
      <c r="I12" s="47">
        <v>42171</v>
      </c>
      <c r="J12" s="48" t="s">
        <v>54</v>
      </c>
      <c r="K12" s="49">
        <v>42170</v>
      </c>
      <c r="L12" s="49">
        <v>43996</v>
      </c>
      <c r="M12" s="50"/>
      <c r="N12" s="50" t="s">
        <v>62</v>
      </c>
      <c r="O12" s="51">
        <v>11685</v>
      </c>
      <c r="P12" s="50"/>
      <c r="Q12" s="57">
        <f>O12*6</f>
        <v>70110</v>
      </c>
      <c r="R12" s="51">
        <v>93136.8</v>
      </c>
      <c r="S12" s="51">
        <v>12855.2</v>
      </c>
      <c r="T12" s="51"/>
      <c r="U12" s="58">
        <f t="shared" si="2"/>
        <v>105992</v>
      </c>
      <c r="V12" s="50"/>
      <c r="W12" s="59"/>
      <c r="X12" s="59"/>
      <c r="Y12" s="59"/>
      <c r="Z12" s="50"/>
      <c r="AA12" s="50"/>
      <c r="AB12" s="50"/>
      <c r="AC12" s="67">
        <f t="shared" si="1"/>
        <v>0</v>
      </c>
    </row>
    <row r="13" s="10" customFormat="1" spans="1:30">
      <c r="A13" s="28">
        <v>10</v>
      </c>
      <c r="B13" s="29" t="s">
        <v>71</v>
      </c>
      <c r="C13" s="29" t="s">
        <v>72</v>
      </c>
      <c r="D13" s="30" t="s">
        <v>93</v>
      </c>
      <c r="E13" s="31" t="s">
        <v>74</v>
      </c>
      <c r="F13" s="32" t="s">
        <v>94</v>
      </c>
      <c r="G13" s="33" t="s">
        <v>95</v>
      </c>
      <c r="H13" s="31" t="s">
        <v>96</v>
      </c>
      <c r="I13" s="47">
        <v>42171</v>
      </c>
      <c r="J13" s="48" t="s">
        <v>54</v>
      </c>
      <c r="K13" s="49">
        <v>42170</v>
      </c>
      <c r="L13" s="49">
        <v>43996</v>
      </c>
      <c r="M13" s="50"/>
      <c r="N13" s="50" t="s">
        <v>62</v>
      </c>
      <c r="O13" s="51">
        <v>12269.25</v>
      </c>
      <c r="P13" s="50"/>
      <c r="Q13" s="57">
        <f>O13*3</f>
        <v>36807.75</v>
      </c>
      <c r="R13" s="51">
        <v>12093.97</v>
      </c>
      <c r="S13" s="51"/>
      <c r="T13" s="51">
        <f>36281.95/3*2</f>
        <v>24187.9666666667</v>
      </c>
      <c r="U13" s="58">
        <f t="shared" si="2"/>
        <v>36281.9366666667</v>
      </c>
      <c r="V13" s="50"/>
      <c r="W13" s="59">
        <f>R13*6+12882.71*6</f>
        <v>149860.08</v>
      </c>
      <c r="X13" s="59">
        <f>12882.71*6</f>
        <v>77296.26</v>
      </c>
      <c r="Y13" s="59"/>
      <c r="Z13" s="50"/>
      <c r="AA13" s="50"/>
      <c r="AB13" s="50"/>
      <c r="AC13" s="67">
        <f t="shared" si="1"/>
        <v>213509.555128986</v>
      </c>
      <c r="AD13" s="67">
        <f>AC13/2</f>
        <v>106754.777564493</v>
      </c>
    </row>
    <row r="14" s="10" customFormat="1" spans="1:29">
      <c r="A14" s="28">
        <v>11</v>
      </c>
      <c r="B14" s="29" t="s">
        <v>71</v>
      </c>
      <c r="C14" s="29" t="s">
        <v>72</v>
      </c>
      <c r="D14" s="30" t="s">
        <v>97</v>
      </c>
      <c r="E14" s="31" t="s">
        <v>74</v>
      </c>
      <c r="F14" s="32" t="s">
        <v>94</v>
      </c>
      <c r="G14" s="33" t="s">
        <v>98</v>
      </c>
      <c r="H14" s="31" t="s">
        <v>99</v>
      </c>
      <c r="I14" s="47">
        <v>42826</v>
      </c>
      <c r="J14" s="48" t="s">
        <v>83</v>
      </c>
      <c r="K14" s="49">
        <v>42826</v>
      </c>
      <c r="L14" s="49">
        <v>43160</v>
      </c>
      <c r="M14" s="50"/>
      <c r="N14" s="50" t="s">
        <v>62</v>
      </c>
      <c r="O14" s="51">
        <v>4827.68</v>
      </c>
      <c r="P14" s="50"/>
      <c r="Q14" s="57">
        <f>O14*3</f>
        <v>14483.04</v>
      </c>
      <c r="R14" s="51">
        <v>6896.69</v>
      </c>
      <c r="S14" s="51">
        <v>8307.37</v>
      </c>
      <c r="T14" s="51"/>
      <c r="U14" s="58">
        <f t="shared" si="2"/>
        <v>15204.06</v>
      </c>
      <c r="V14" s="50"/>
      <c r="W14" s="59"/>
      <c r="X14" s="59"/>
      <c r="Y14" s="59"/>
      <c r="Z14" s="50"/>
      <c r="AA14" s="50"/>
      <c r="AB14" s="50"/>
      <c r="AC14" s="67">
        <f t="shared" si="1"/>
        <v>0</v>
      </c>
    </row>
    <row r="15" s="10" customFormat="1" spans="1:29">
      <c r="A15" s="28">
        <v>12</v>
      </c>
      <c r="B15" s="29" t="s">
        <v>71</v>
      </c>
      <c r="C15" s="29" t="s">
        <v>72</v>
      </c>
      <c r="D15" s="30" t="s">
        <v>97</v>
      </c>
      <c r="E15" s="31" t="s">
        <v>74</v>
      </c>
      <c r="F15" s="32" t="s">
        <v>94</v>
      </c>
      <c r="G15" s="33" t="s">
        <v>98</v>
      </c>
      <c r="H15" s="31" t="s">
        <v>99</v>
      </c>
      <c r="I15" s="47">
        <v>43191</v>
      </c>
      <c r="J15" s="48" t="s">
        <v>83</v>
      </c>
      <c r="K15" s="49">
        <v>43191</v>
      </c>
      <c r="L15" s="49">
        <v>43525</v>
      </c>
      <c r="M15" s="50"/>
      <c r="N15" s="50" t="s">
        <v>62</v>
      </c>
      <c r="O15" s="51">
        <v>4937.4</v>
      </c>
      <c r="P15" s="50"/>
      <c r="Q15" s="57">
        <f>O15*5</f>
        <v>24687</v>
      </c>
      <c r="R15" s="51">
        <v>12696.17</v>
      </c>
      <c r="S15" s="51">
        <v>1410.69</v>
      </c>
      <c r="T15" s="51">
        <v>14106.86</v>
      </c>
      <c r="U15" s="58">
        <f t="shared" si="2"/>
        <v>28213.72</v>
      </c>
      <c r="V15" s="50"/>
      <c r="W15" s="59"/>
      <c r="X15" s="59"/>
      <c r="Y15" s="59"/>
      <c r="Z15" s="50"/>
      <c r="AA15" s="50"/>
      <c r="AB15" s="50"/>
      <c r="AC15" s="67">
        <f t="shared" si="1"/>
        <v>0</v>
      </c>
    </row>
    <row r="16" s="10" customFormat="1" spans="1:30">
      <c r="A16" s="28">
        <v>13</v>
      </c>
      <c r="B16" s="29" t="s">
        <v>71</v>
      </c>
      <c r="C16" s="29" t="s">
        <v>72</v>
      </c>
      <c r="D16" s="30" t="s">
        <v>100</v>
      </c>
      <c r="E16" s="31" t="s">
        <v>74</v>
      </c>
      <c r="F16" s="32" t="s">
        <v>94</v>
      </c>
      <c r="G16" s="33" t="s">
        <v>101</v>
      </c>
      <c r="H16" s="31" t="s">
        <v>102</v>
      </c>
      <c r="I16" s="47">
        <v>42430</v>
      </c>
      <c r="J16" s="48" t="s">
        <v>69</v>
      </c>
      <c r="K16" s="49">
        <v>42430</v>
      </c>
      <c r="L16" s="49">
        <v>43524</v>
      </c>
      <c r="M16" s="50"/>
      <c r="N16" s="50" t="s">
        <v>62</v>
      </c>
      <c r="O16" s="51">
        <v>3528.44</v>
      </c>
      <c r="P16" s="50"/>
      <c r="Q16" s="57">
        <f>O16*7</f>
        <v>24699.08</v>
      </c>
      <c r="R16" s="51">
        <v>4840.64</v>
      </c>
      <c r="S16" s="51">
        <v>1008.13</v>
      </c>
      <c r="T16" s="51">
        <f>6720.84</f>
        <v>6720.84</v>
      </c>
      <c r="U16" s="58">
        <f t="shared" si="2"/>
        <v>12569.61</v>
      </c>
      <c r="V16" s="50"/>
      <c r="W16" s="59">
        <v>7048.88</v>
      </c>
      <c r="X16" s="59"/>
      <c r="Y16" s="59"/>
      <c r="Z16" s="50"/>
      <c r="AA16" s="50"/>
      <c r="AB16" s="50"/>
      <c r="AC16" s="67">
        <f t="shared" si="1"/>
        <v>6729.24105011933</v>
      </c>
      <c r="AD16" s="67">
        <f>AC16/1</f>
        <v>6729.24105011933</v>
      </c>
    </row>
    <row r="17" s="10" customFormat="1" spans="1:30">
      <c r="A17" s="28">
        <v>14</v>
      </c>
      <c r="B17" s="29" t="s">
        <v>71</v>
      </c>
      <c r="C17" s="29" t="s">
        <v>72</v>
      </c>
      <c r="D17" s="30" t="s">
        <v>103</v>
      </c>
      <c r="E17" s="31" t="s">
        <v>74</v>
      </c>
      <c r="F17" s="32" t="s">
        <v>94</v>
      </c>
      <c r="G17" s="33" t="s">
        <v>104</v>
      </c>
      <c r="H17" s="31" t="s">
        <v>105</v>
      </c>
      <c r="I17" s="47">
        <v>42840</v>
      </c>
      <c r="J17" s="48" t="s">
        <v>69</v>
      </c>
      <c r="K17" s="49">
        <v>42840</v>
      </c>
      <c r="L17" s="49">
        <v>43935</v>
      </c>
      <c r="M17" s="50"/>
      <c r="N17" s="50" t="s">
        <v>62</v>
      </c>
      <c r="O17" s="51">
        <v>2500</v>
      </c>
      <c r="P17" s="50"/>
      <c r="Q17" s="57">
        <f>O17*6</f>
        <v>15000</v>
      </c>
      <c r="R17" s="51">
        <v>14785.71</v>
      </c>
      <c r="S17" s="51"/>
      <c r="T17" s="51">
        <f>O17/1.015*3</f>
        <v>7389.16256157636</v>
      </c>
      <c r="U17" s="58">
        <f t="shared" si="2"/>
        <v>22174.8725615764</v>
      </c>
      <c r="V17" s="50"/>
      <c r="W17" s="59">
        <f>O17/1.015*12</f>
        <v>29556.6502463054</v>
      </c>
      <c r="X17" s="59">
        <f>O17/1.015*3</f>
        <v>7389.16256157636</v>
      </c>
      <c r="Y17" s="59"/>
      <c r="Z17" s="50"/>
      <c r="AA17" s="50"/>
      <c r="AB17" s="50"/>
      <c r="AC17" s="67">
        <f t="shared" si="1"/>
        <v>34950.5903425761</v>
      </c>
      <c r="AD17" s="67">
        <f t="shared" ref="AD17:AD18" si="3">AC17/2</f>
        <v>17475.2951712881</v>
      </c>
    </row>
    <row r="18" s="10" customFormat="1" spans="1:30">
      <c r="A18" s="28">
        <v>15</v>
      </c>
      <c r="B18" s="29" t="s">
        <v>71</v>
      </c>
      <c r="C18" s="29" t="s">
        <v>72</v>
      </c>
      <c r="D18" s="30" t="s">
        <v>106</v>
      </c>
      <c r="E18" s="31" t="s">
        <v>74</v>
      </c>
      <c r="F18" s="32" t="s">
        <v>94</v>
      </c>
      <c r="G18" s="33" t="s">
        <v>107</v>
      </c>
      <c r="H18" s="31" t="s">
        <v>108</v>
      </c>
      <c r="I18" s="47">
        <v>42856</v>
      </c>
      <c r="J18" s="48" t="s">
        <v>69</v>
      </c>
      <c r="K18" s="49">
        <v>42856</v>
      </c>
      <c r="L18" s="49">
        <v>43951</v>
      </c>
      <c r="M18" s="50"/>
      <c r="N18" s="50" t="s">
        <v>62</v>
      </c>
      <c r="O18" s="51">
        <v>3450</v>
      </c>
      <c r="P18" s="50"/>
      <c r="Q18" s="57">
        <f>O18*9</f>
        <v>31050</v>
      </c>
      <c r="R18" s="51">
        <v>30608.93</v>
      </c>
      <c r="S18" s="51"/>
      <c r="T18" s="51">
        <f>17003.57</f>
        <v>17003.57</v>
      </c>
      <c r="U18" s="58">
        <f t="shared" si="2"/>
        <v>47612.5</v>
      </c>
      <c r="V18" s="50"/>
      <c r="W18" s="59">
        <v>40808.56</v>
      </c>
      <c r="X18" s="59">
        <v>13602.85</v>
      </c>
      <c r="Y18" s="59"/>
      <c r="Z18" s="50"/>
      <c r="AA18" s="50"/>
      <c r="AB18" s="50"/>
      <c r="AC18" s="67">
        <f t="shared" si="1"/>
        <v>51355.2022146149</v>
      </c>
      <c r="AD18" s="67">
        <f t="shared" si="3"/>
        <v>25677.6011073074</v>
      </c>
    </row>
    <row r="19" s="10" customFormat="1" spans="1:30">
      <c r="A19" s="28">
        <v>16</v>
      </c>
      <c r="B19" s="29" t="s">
        <v>71</v>
      </c>
      <c r="C19" s="29" t="s">
        <v>72</v>
      </c>
      <c r="D19" s="30" t="s">
        <v>109</v>
      </c>
      <c r="E19" s="31" t="s">
        <v>74</v>
      </c>
      <c r="F19" s="32" t="s">
        <v>75</v>
      </c>
      <c r="G19" s="33" t="s">
        <v>110</v>
      </c>
      <c r="H19" s="31" t="s">
        <v>111</v>
      </c>
      <c r="I19" s="47">
        <v>43257</v>
      </c>
      <c r="J19" s="48" t="s">
        <v>54</v>
      </c>
      <c r="K19" s="49">
        <v>43257</v>
      </c>
      <c r="L19" s="49">
        <v>45051</v>
      </c>
      <c r="M19" s="50"/>
      <c r="N19" s="50" t="s">
        <v>62</v>
      </c>
      <c r="O19" s="51">
        <v>5037.58</v>
      </c>
      <c r="P19" s="50"/>
      <c r="Q19" s="57">
        <f>O19*6</f>
        <v>30225.48</v>
      </c>
      <c r="R19" s="51">
        <v>38381.56</v>
      </c>
      <c r="S19" s="51"/>
      <c r="T19" s="51">
        <f>19190.8</f>
        <v>19190.8</v>
      </c>
      <c r="U19" s="58">
        <f t="shared" si="2"/>
        <v>57572.36</v>
      </c>
      <c r="V19" s="50"/>
      <c r="W19" s="59">
        <v>30225.49</v>
      </c>
      <c r="X19" s="59">
        <v>60450.98</v>
      </c>
      <c r="Y19" s="59">
        <v>60450.98</v>
      </c>
      <c r="Z19" s="50">
        <v>67167.76</v>
      </c>
      <c r="AA19" s="50">
        <v>18471.13</v>
      </c>
      <c r="AB19" s="50"/>
      <c r="AC19" s="67">
        <f t="shared" si="1"/>
        <v>206977.001128578</v>
      </c>
      <c r="AD19" s="67">
        <f>AC19/5</f>
        <v>41395.4002257156</v>
      </c>
    </row>
    <row r="20" s="10" customFormat="1" spans="1:30">
      <c r="A20" s="28">
        <v>17</v>
      </c>
      <c r="B20" s="29" t="s">
        <v>71</v>
      </c>
      <c r="C20" s="29" t="s">
        <v>72</v>
      </c>
      <c r="D20" s="30" t="s">
        <v>112</v>
      </c>
      <c r="E20" s="31" t="s">
        <v>74</v>
      </c>
      <c r="F20" s="32" t="s">
        <v>113</v>
      </c>
      <c r="G20" s="33" t="s">
        <v>114</v>
      </c>
      <c r="H20" s="31" t="s">
        <v>115</v>
      </c>
      <c r="I20" s="47">
        <v>42929</v>
      </c>
      <c r="J20" s="48" t="s">
        <v>69</v>
      </c>
      <c r="K20" s="49">
        <v>42856</v>
      </c>
      <c r="L20" s="49">
        <v>43951</v>
      </c>
      <c r="M20" s="50"/>
      <c r="N20" s="50" t="s">
        <v>62</v>
      </c>
      <c r="O20" s="51">
        <v>6950</v>
      </c>
      <c r="P20" s="50"/>
      <c r="Q20" s="57">
        <v>62550</v>
      </c>
      <c r="R20" s="51">
        <v>41056.1</v>
      </c>
      <c r="S20" s="51">
        <v>11930.97</v>
      </c>
      <c r="T20" s="51">
        <v>26476.2</v>
      </c>
      <c r="U20" s="58">
        <v>26476.2</v>
      </c>
      <c r="V20" s="50"/>
      <c r="W20" s="59">
        <v>83400</v>
      </c>
      <c r="X20" s="59">
        <v>27800</v>
      </c>
      <c r="Y20" s="59"/>
      <c r="Z20" s="50"/>
      <c r="AA20" s="50"/>
      <c r="AB20" s="50"/>
      <c r="AC20" s="67">
        <f t="shared" si="1"/>
        <v>104954.061551256</v>
      </c>
      <c r="AD20" s="67">
        <f>AC20/2</f>
        <v>52477.0307756278</v>
      </c>
    </row>
    <row r="21" s="10" customFormat="1" spans="1:29">
      <c r="A21" s="28">
        <v>18</v>
      </c>
      <c r="B21" s="29" t="s">
        <v>71</v>
      </c>
      <c r="C21" s="29" t="s">
        <v>72</v>
      </c>
      <c r="D21" s="30" t="s">
        <v>116</v>
      </c>
      <c r="E21" s="31" t="s">
        <v>74</v>
      </c>
      <c r="F21" s="32" t="s">
        <v>117</v>
      </c>
      <c r="G21" s="33" t="s">
        <v>118</v>
      </c>
      <c r="H21" s="31" t="s">
        <v>119</v>
      </c>
      <c r="I21" s="47">
        <v>42984</v>
      </c>
      <c r="J21" s="48" t="s">
        <v>120</v>
      </c>
      <c r="K21" s="49">
        <v>42736</v>
      </c>
      <c r="L21" s="49">
        <v>43465</v>
      </c>
      <c r="M21" s="50"/>
      <c r="N21" s="50" t="s">
        <v>62</v>
      </c>
      <c r="O21" s="51">
        <v>2666.67</v>
      </c>
      <c r="P21" s="50"/>
      <c r="Q21" s="57">
        <v>24000.03</v>
      </c>
      <c r="R21" s="51">
        <v>23661.15</v>
      </c>
      <c r="S21" s="51"/>
      <c r="T21" s="51">
        <v>7885.71</v>
      </c>
      <c r="U21" s="58">
        <v>7885.71</v>
      </c>
      <c r="V21" s="50"/>
      <c r="W21" s="59"/>
      <c r="X21" s="59"/>
      <c r="Y21" s="59"/>
      <c r="Z21" s="50"/>
      <c r="AA21" s="50"/>
      <c r="AB21" s="50"/>
      <c r="AC21" s="67">
        <f t="shared" si="1"/>
        <v>0</v>
      </c>
    </row>
    <row r="22" s="10" customFormat="1" spans="1:29">
      <c r="A22" s="28">
        <v>19</v>
      </c>
      <c r="B22" s="29" t="s">
        <v>71</v>
      </c>
      <c r="C22" s="29" t="s">
        <v>72</v>
      </c>
      <c r="D22" s="30" t="s">
        <v>121</v>
      </c>
      <c r="E22" s="31" t="s">
        <v>74</v>
      </c>
      <c r="F22" s="32" t="s">
        <v>122</v>
      </c>
      <c r="G22" s="33" t="s">
        <v>123</v>
      </c>
      <c r="H22" s="31" t="s">
        <v>124</v>
      </c>
      <c r="I22" s="47">
        <v>42436</v>
      </c>
      <c r="J22" s="48" t="s">
        <v>69</v>
      </c>
      <c r="K22" s="49">
        <v>42449</v>
      </c>
      <c r="L22" s="49">
        <v>43543</v>
      </c>
      <c r="M22" s="50"/>
      <c r="N22" s="50" t="s">
        <v>62</v>
      </c>
      <c r="O22" s="51">
        <v>1158.67</v>
      </c>
      <c r="P22" s="50"/>
      <c r="Q22" s="57">
        <v>10428.03</v>
      </c>
      <c r="R22" s="51">
        <v>8157.82</v>
      </c>
      <c r="S22" s="51"/>
      <c r="T22" s="51">
        <v>3494.28</v>
      </c>
      <c r="U22" s="58">
        <v>3494.28</v>
      </c>
      <c r="V22" s="50"/>
      <c r="W22" s="59"/>
      <c r="X22" s="59"/>
      <c r="Y22" s="59"/>
      <c r="Z22" s="50"/>
      <c r="AA22" s="50"/>
      <c r="AB22" s="50"/>
      <c r="AC22" s="67">
        <f t="shared" si="1"/>
        <v>0</v>
      </c>
    </row>
    <row r="23" s="10" customFormat="1" spans="1:30">
      <c r="A23" s="28">
        <v>20</v>
      </c>
      <c r="B23" s="29" t="s">
        <v>71</v>
      </c>
      <c r="C23" s="29" t="s">
        <v>72</v>
      </c>
      <c r="D23" s="30" t="s">
        <v>125</v>
      </c>
      <c r="E23" s="31" t="s">
        <v>74</v>
      </c>
      <c r="F23" s="32" t="s">
        <v>126</v>
      </c>
      <c r="G23" s="33" t="s">
        <v>127</v>
      </c>
      <c r="H23" s="31" t="s">
        <v>128</v>
      </c>
      <c r="I23" s="47">
        <v>42758</v>
      </c>
      <c r="J23" s="48" t="s">
        <v>69</v>
      </c>
      <c r="K23" s="49">
        <v>42736</v>
      </c>
      <c r="L23" s="49">
        <v>43830</v>
      </c>
      <c r="M23" s="50"/>
      <c r="N23" s="50" t="s">
        <v>62</v>
      </c>
      <c r="O23" s="51">
        <v>1803.62</v>
      </c>
      <c r="P23" s="50"/>
      <c r="Q23" s="57">
        <v>16232.58</v>
      </c>
      <c r="R23" s="51">
        <v>16005.4</v>
      </c>
      <c r="S23" s="51"/>
      <c r="T23" s="51">
        <v>5333.56</v>
      </c>
      <c r="U23" s="58">
        <v>5333.56</v>
      </c>
      <c r="V23" s="50"/>
      <c r="W23" s="59">
        <v>21643.44</v>
      </c>
      <c r="X23" s="59"/>
      <c r="Y23" s="59"/>
      <c r="Z23" s="50"/>
      <c r="AA23" s="50"/>
      <c r="AB23" s="50"/>
      <c r="AC23" s="67">
        <f t="shared" si="1"/>
        <v>20661.9952267303</v>
      </c>
      <c r="AD23" s="67">
        <f t="shared" ref="AD23:AD24" si="4">AC23/1</f>
        <v>20661.9952267303</v>
      </c>
    </row>
    <row r="24" s="10" customFormat="1" spans="1:30">
      <c r="A24" s="28">
        <v>21</v>
      </c>
      <c r="B24" s="29" t="s">
        <v>71</v>
      </c>
      <c r="C24" s="29" t="s">
        <v>72</v>
      </c>
      <c r="D24" s="30" t="s">
        <v>129</v>
      </c>
      <c r="E24" s="31" t="s">
        <v>74</v>
      </c>
      <c r="F24" s="32" t="s">
        <v>130</v>
      </c>
      <c r="G24" s="33" t="s">
        <v>131</v>
      </c>
      <c r="H24" s="31" t="s">
        <v>132</v>
      </c>
      <c r="I24" s="47">
        <v>43190</v>
      </c>
      <c r="J24" s="48" t="s">
        <v>83</v>
      </c>
      <c r="K24" s="49">
        <v>43191</v>
      </c>
      <c r="L24" s="49">
        <v>43555</v>
      </c>
      <c r="M24" s="50"/>
      <c r="N24" s="50" t="s">
        <v>62</v>
      </c>
      <c r="O24" s="51">
        <v>6973.3333</v>
      </c>
      <c r="P24" s="50"/>
      <c r="Q24" s="57">
        <v>62759.9997</v>
      </c>
      <c r="R24" s="51">
        <v>60260.78</v>
      </c>
      <c r="S24" s="51">
        <v>3948.22</v>
      </c>
      <c r="T24" s="51">
        <v>19923.81</v>
      </c>
      <c r="U24" s="58">
        <v>19923.81</v>
      </c>
      <c r="V24" s="50"/>
      <c r="W24" s="59">
        <v>20920</v>
      </c>
      <c r="X24" s="59"/>
      <c r="Y24" s="59"/>
      <c r="Z24" s="50"/>
      <c r="AA24" s="50"/>
      <c r="AB24" s="50"/>
      <c r="AC24" s="67">
        <f t="shared" si="1"/>
        <v>19971.3603818616</v>
      </c>
      <c r="AD24" s="67">
        <f t="shared" si="4"/>
        <v>19971.3603818616</v>
      </c>
    </row>
    <row r="25" s="10" customFormat="1" spans="1:29">
      <c r="A25" s="28">
        <v>22</v>
      </c>
      <c r="B25" s="29" t="s">
        <v>71</v>
      </c>
      <c r="C25" s="29" t="s">
        <v>72</v>
      </c>
      <c r="D25" s="30" t="s">
        <v>133</v>
      </c>
      <c r="E25" s="31" t="s">
        <v>74</v>
      </c>
      <c r="F25" s="32" t="s">
        <v>134</v>
      </c>
      <c r="G25" s="33" t="s">
        <v>135</v>
      </c>
      <c r="H25" s="31" t="s">
        <v>136</v>
      </c>
      <c r="I25" s="47">
        <v>41632</v>
      </c>
      <c r="J25" s="48" t="s">
        <v>54</v>
      </c>
      <c r="K25" s="49">
        <v>41640</v>
      </c>
      <c r="L25" s="49">
        <v>43465</v>
      </c>
      <c r="M25" s="50"/>
      <c r="N25" s="50" t="s">
        <v>62</v>
      </c>
      <c r="O25" s="51">
        <v>3600</v>
      </c>
      <c r="P25" s="50"/>
      <c r="Q25" s="57">
        <v>32400</v>
      </c>
      <c r="R25" s="51">
        <v>20571.43</v>
      </c>
      <c r="S25" s="51"/>
      <c r="T25" s="51">
        <v>50271.43</v>
      </c>
      <c r="U25" s="58">
        <v>50271.43</v>
      </c>
      <c r="V25" s="50"/>
      <c r="W25" s="59">
        <v>0</v>
      </c>
      <c r="X25" s="59"/>
      <c r="Y25" s="59"/>
      <c r="Z25" s="50"/>
      <c r="AA25" s="50"/>
      <c r="AB25" s="50"/>
      <c r="AC25" s="67">
        <f t="shared" si="1"/>
        <v>0</v>
      </c>
    </row>
    <row r="26" s="10" customFormat="1" spans="1:30">
      <c r="A26" s="28">
        <v>23</v>
      </c>
      <c r="B26" s="29" t="s">
        <v>71</v>
      </c>
      <c r="C26" s="29" t="s">
        <v>72</v>
      </c>
      <c r="D26" s="30" t="s">
        <v>137</v>
      </c>
      <c r="E26" s="31" t="s">
        <v>74</v>
      </c>
      <c r="F26" s="32" t="s">
        <v>138</v>
      </c>
      <c r="G26" s="33" t="s">
        <v>139</v>
      </c>
      <c r="H26" s="31" t="s">
        <v>140</v>
      </c>
      <c r="I26" s="47">
        <v>42206</v>
      </c>
      <c r="J26" s="48" t="s">
        <v>54</v>
      </c>
      <c r="K26" s="49">
        <v>42232</v>
      </c>
      <c r="L26" s="49">
        <v>44058</v>
      </c>
      <c r="M26" s="50"/>
      <c r="N26" s="50" t="s">
        <v>62</v>
      </c>
      <c r="O26" s="51">
        <v>2950</v>
      </c>
      <c r="P26" s="50"/>
      <c r="Q26" s="57">
        <v>26550</v>
      </c>
      <c r="R26" s="51">
        <v>18633.34</v>
      </c>
      <c r="S26" s="51"/>
      <c r="T26" s="51">
        <v>9316.67</v>
      </c>
      <c r="U26" s="58">
        <v>9316.67</v>
      </c>
      <c r="V26" s="50"/>
      <c r="W26" s="59">
        <v>35400</v>
      </c>
      <c r="X26" s="59">
        <v>23600</v>
      </c>
      <c r="Y26" s="59"/>
      <c r="Z26" s="50"/>
      <c r="AA26" s="50"/>
      <c r="AB26" s="50"/>
      <c r="AC26" s="67">
        <f t="shared" si="1"/>
        <v>55302.9431365736</v>
      </c>
      <c r="AD26" s="67">
        <f>AC26/2</f>
        <v>27651.4715682868</v>
      </c>
    </row>
    <row r="27" s="10" customFormat="1" spans="1:30">
      <c r="A27" s="28">
        <v>24</v>
      </c>
      <c r="B27" s="29" t="s">
        <v>71</v>
      </c>
      <c r="C27" s="29" t="s">
        <v>72</v>
      </c>
      <c r="D27" s="30" t="s">
        <v>141</v>
      </c>
      <c r="E27" s="31" t="s">
        <v>74</v>
      </c>
      <c r="F27" s="32" t="s">
        <v>142</v>
      </c>
      <c r="G27" s="33" t="s">
        <v>143</v>
      </c>
      <c r="H27" s="31" t="s">
        <v>144</v>
      </c>
      <c r="I27" s="47">
        <v>42856</v>
      </c>
      <c r="J27" s="48" t="s">
        <v>54</v>
      </c>
      <c r="K27" s="49">
        <v>42856</v>
      </c>
      <c r="L27" s="49">
        <v>44681</v>
      </c>
      <c r="M27" s="50"/>
      <c r="N27" s="50" t="s">
        <v>62</v>
      </c>
      <c r="O27" s="51">
        <v>4800</v>
      </c>
      <c r="P27" s="50"/>
      <c r="Q27" s="57">
        <v>43200</v>
      </c>
      <c r="R27" s="51">
        <v>33120</v>
      </c>
      <c r="S27" s="51">
        <v>10080</v>
      </c>
      <c r="T27" s="51"/>
      <c r="U27" s="58"/>
      <c r="V27" s="50"/>
      <c r="W27" s="59">
        <v>57600</v>
      </c>
      <c r="X27" s="59">
        <v>57600</v>
      </c>
      <c r="Y27" s="59">
        <v>57600</v>
      </c>
      <c r="Z27" s="50">
        <v>19200</v>
      </c>
      <c r="AA27" s="50"/>
      <c r="AB27" s="50"/>
      <c r="AC27" s="67">
        <f t="shared" si="1"/>
        <v>173544.017942534</v>
      </c>
      <c r="AD27" s="68">
        <f>AC27/4</f>
        <v>43386.0044856336</v>
      </c>
    </row>
    <row r="28" s="10" customFormat="1" spans="1:30">
      <c r="A28" s="28">
        <v>25</v>
      </c>
      <c r="B28" s="29" t="s">
        <v>71</v>
      </c>
      <c r="C28" s="29" t="s">
        <v>72</v>
      </c>
      <c r="D28" s="30" t="s">
        <v>145</v>
      </c>
      <c r="E28" s="31" t="s">
        <v>74</v>
      </c>
      <c r="F28" s="32" t="s">
        <v>146</v>
      </c>
      <c r="G28" s="33" t="s">
        <v>147</v>
      </c>
      <c r="H28" s="31" t="s">
        <v>148</v>
      </c>
      <c r="I28" s="47">
        <v>43098</v>
      </c>
      <c r="J28" s="48" t="s">
        <v>69</v>
      </c>
      <c r="K28" s="49">
        <v>43101</v>
      </c>
      <c r="L28" s="49">
        <v>44196</v>
      </c>
      <c r="M28" s="50"/>
      <c r="N28" s="50" t="s">
        <v>62</v>
      </c>
      <c r="O28" s="51">
        <v>8388</v>
      </c>
      <c r="P28" s="50"/>
      <c r="Q28" s="57">
        <v>75492</v>
      </c>
      <c r="R28" s="51">
        <v>67104.75</v>
      </c>
      <c r="S28" s="51">
        <v>4792.38</v>
      </c>
      <c r="T28" s="51">
        <v>23965.71</v>
      </c>
      <c r="U28" s="58">
        <f t="shared" si="2"/>
        <v>95862.84</v>
      </c>
      <c r="V28" s="50"/>
      <c r="W28" s="59">
        <v>100656</v>
      </c>
      <c r="X28" s="59">
        <v>100656</v>
      </c>
      <c r="Y28" s="59"/>
      <c r="Z28" s="50"/>
      <c r="AA28" s="50"/>
      <c r="AB28" s="50"/>
      <c r="AC28" s="67">
        <f t="shared" si="1"/>
        <v>187825.915778561</v>
      </c>
      <c r="AD28" s="67">
        <f>AC28/2</f>
        <v>93912.9578892806</v>
      </c>
    </row>
    <row r="29" s="10" customFormat="1" spans="1:30">
      <c r="A29" s="28">
        <v>26</v>
      </c>
      <c r="B29" s="29" t="s">
        <v>71</v>
      </c>
      <c r="C29" s="29" t="s">
        <v>72</v>
      </c>
      <c r="D29" s="30" t="s">
        <v>149</v>
      </c>
      <c r="E29" s="31" t="s">
        <v>74</v>
      </c>
      <c r="F29" s="32" t="s">
        <v>150</v>
      </c>
      <c r="G29" s="33" t="s">
        <v>151</v>
      </c>
      <c r="H29" s="31" t="s">
        <v>152</v>
      </c>
      <c r="I29" s="47">
        <v>42537</v>
      </c>
      <c r="J29" s="48" t="s">
        <v>54</v>
      </c>
      <c r="K29" s="49">
        <v>42552</v>
      </c>
      <c r="L29" s="49">
        <v>44377</v>
      </c>
      <c r="M29" s="50"/>
      <c r="N29" s="50" t="s">
        <v>62</v>
      </c>
      <c r="O29" s="51">
        <v>3500</v>
      </c>
      <c r="P29" s="50"/>
      <c r="Q29" s="57">
        <v>31500</v>
      </c>
      <c r="R29" s="51">
        <v>29859.24</v>
      </c>
      <c r="S29" s="51">
        <v>3334.25</v>
      </c>
      <c r="T29" s="51">
        <v>11064.49</v>
      </c>
      <c r="U29" s="58">
        <f t="shared" si="2"/>
        <v>44257.98</v>
      </c>
      <c r="V29" s="50"/>
      <c r="W29" s="59">
        <v>45600</v>
      </c>
      <c r="X29" s="59">
        <v>46200</v>
      </c>
      <c r="Y29" s="59">
        <v>23100</v>
      </c>
      <c r="Z29" s="50"/>
      <c r="AA29" s="50"/>
      <c r="AB29" s="50"/>
      <c r="AC29" s="67">
        <f t="shared" si="1"/>
        <v>105735.106058031</v>
      </c>
      <c r="AD29" s="67">
        <f>AC29/3</f>
        <v>35245.0353526769</v>
      </c>
    </row>
    <row r="30" s="10" customFormat="1" spans="1:30">
      <c r="A30" s="28">
        <v>27</v>
      </c>
      <c r="B30" s="29" t="s">
        <v>71</v>
      </c>
      <c r="C30" s="29" t="s">
        <v>72</v>
      </c>
      <c r="D30" s="30" t="s">
        <v>153</v>
      </c>
      <c r="E30" s="31" t="s">
        <v>74</v>
      </c>
      <c r="F30" s="32" t="s">
        <v>150</v>
      </c>
      <c r="G30" s="33" t="s">
        <v>154</v>
      </c>
      <c r="H30" s="31" t="s">
        <v>155</v>
      </c>
      <c r="I30" s="47">
        <v>42857</v>
      </c>
      <c r="J30" s="48" t="s">
        <v>69</v>
      </c>
      <c r="K30" s="49">
        <v>42887</v>
      </c>
      <c r="L30" s="49">
        <v>43982</v>
      </c>
      <c r="M30" s="50"/>
      <c r="N30" s="50" t="s">
        <v>62</v>
      </c>
      <c r="O30" s="51">
        <v>3000</v>
      </c>
      <c r="P30" s="50"/>
      <c r="Q30" s="57">
        <v>27000</v>
      </c>
      <c r="R30" s="51">
        <v>18000</v>
      </c>
      <c r="S30" s="51"/>
      <c r="T30" s="51">
        <v>18000</v>
      </c>
      <c r="U30" s="58">
        <f t="shared" si="2"/>
        <v>36000</v>
      </c>
      <c r="V30" s="50"/>
      <c r="W30" s="59">
        <v>36000</v>
      </c>
      <c r="X30" s="59">
        <v>15000</v>
      </c>
      <c r="Y30" s="59"/>
      <c r="Z30" s="50"/>
      <c r="AA30" s="50"/>
      <c r="AB30" s="50"/>
      <c r="AC30" s="67">
        <f t="shared" si="1"/>
        <v>48038.0038846896</v>
      </c>
      <c r="AD30" s="67">
        <f>AC30/2</f>
        <v>24019.0019423448</v>
      </c>
    </row>
    <row r="31" s="10" customFormat="1" spans="1:29">
      <c r="A31" s="28">
        <v>28</v>
      </c>
      <c r="B31" s="29" t="s">
        <v>71</v>
      </c>
      <c r="C31" s="29" t="s">
        <v>72</v>
      </c>
      <c r="D31" s="30" t="s">
        <v>156</v>
      </c>
      <c r="E31" s="31" t="s">
        <v>74</v>
      </c>
      <c r="F31" s="32" t="s">
        <v>157</v>
      </c>
      <c r="G31" s="33" t="s">
        <v>158</v>
      </c>
      <c r="H31" s="31" t="s">
        <v>159</v>
      </c>
      <c r="I31" s="47">
        <v>42440</v>
      </c>
      <c r="J31" s="48" t="s">
        <v>69</v>
      </c>
      <c r="K31" s="49">
        <v>42461</v>
      </c>
      <c r="L31" s="49">
        <v>43555</v>
      </c>
      <c r="M31" s="50"/>
      <c r="N31" s="50" t="s">
        <v>62</v>
      </c>
      <c r="O31" s="51">
        <v>150</v>
      </c>
      <c r="P31" s="50"/>
      <c r="Q31" s="57"/>
      <c r="R31" s="51"/>
      <c r="S31" s="51"/>
      <c r="T31" s="51"/>
      <c r="U31" s="58">
        <f t="shared" si="2"/>
        <v>0</v>
      </c>
      <c r="V31" s="50"/>
      <c r="W31" s="59"/>
      <c r="X31" s="59"/>
      <c r="Y31" s="59"/>
      <c r="Z31" s="50"/>
      <c r="AA31" s="50"/>
      <c r="AB31" s="50"/>
      <c r="AC31" s="67">
        <f t="shared" si="1"/>
        <v>0</v>
      </c>
    </row>
    <row r="32" s="10" customFormat="1" spans="1:30">
      <c r="A32" s="28">
        <v>29</v>
      </c>
      <c r="B32" s="29" t="s">
        <v>71</v>
      </c>
      <c r="C32" s="29" t="s">
        <v>72</v>
      </c>
      <c r="D32" s="30" t="s">
        <v>160</v>
      </c>
      <c r="E32" s="31" t="s">
        <v>74</v>
      </c>
      <c r="F32" s="32" t="s">
        <v>75</v>
      </c>
      <c r="G32" s="33" t="s">
        <v>161</v>
      </c>
      <c r="H32" s="31" t="s">
        <v>162</v>
      </c>
      <c r="I32" s="47">
        <v>42590</v>
      </c>
      <c r="J32" s="48" t="s">
        <v>78</v>
      </c>
      <c r="K32" s="49">
        <v>42590</v>
      </c>
      <c r="L32" s="49">
        <v>45511</v>
      </c>
      <c r="M32" s="50"/>
      <c r="N32" s="50" t="s">
        <v>163</v>
      </c>
      <c r="O32" s="51">
        <v>30343.13</v>
      </c>
      <c r="P32" s="50"/>
      <c r="Q32" s="57">
        <v>273088.16</v>
      </c>
      <c r="R32" s="51">
        <v>229191.45</v>
      </c>
      <c r="S32" s="51">
        <v>22334.7</v>
      </c>
      <c r="T32" s="51">
        <v>94350</v>
      </c>
      <c r="U32" s="58">
        <v>94350</v>
      </c>
      <c r="V32" s="50"/>
      <c r="W32" s="59">
        <v>386376.96</v>
      </c>
      <c r="X32" s="59">
        <v>404768.46</v>
      </c>
      <c r="Y32" s="59">
        <v>424067</v>
      </c>
      <c r="Z32" s="50">
        <v>444335.3</v>
      </c>
      <c r="AA32" s="50">
        <v>465604.3</v>
      </c>
      <c r="AB32" s="50">
        <v>238244.5</v>
      </c>
      <c r="AC32" s="67">
        <f t="shared" si="1"/>
        <v>1844947.29935471</v>
      </c>
      <c r="AD32" s="67">
        <f>AC32/5</f>
        <v>368989.459870941</v>
      </c>
    </row>
    <row r="33" s="10" customFormat="1" spans="1:30">
      <c r="A33" s="28">
        <v>30</v>
      </c>
      <c r="B33" s="29" t="s">
        <v>71</v>
      </c>
      <c r="C33" s="29" t="s">
        <v>72</v>
      </c>
      <c r="D33" s="30" t="s">
        <v>164</v>
      </c>
      <c r="E33" s="31" t="s">
        <v>74</v>
      </c>
      <c r="F33" s="32" t="s">
        <v>75</v>
      </c>
      <c r="G33" s="33" t="s">
        <v>165</v>
      </c>
      <c r="H33" s="31" t="s">
        <v>166</v>
      </c>
      <c r="I33" s="47">
        <v>41759</v>
      </c>
      <c r="J33" s="48" t="s">
        <v>54</v>
      </c>
      <c r="K33" s="49">
        <v>41760</v>
      </c>
      <c r="L33" s="49">
        <v>43585</v>
      </c>
      <c r="M33" s="50"/>
      <c r="N33" s="50" t="s">
        <v>62</v>
      </c>
      <c r="O33" s="51">
        <v>4413.84</v>
      </c>
      <c r="P33" s="50"/>
      <c r="Q33" s="57">
        <v>39724.59</v>
      </c>
      <c r="R33" s="51">
        <v>39349.71</v>
      </c>
      <c r="S33" s="51"/>
      <c r="T33" s="51">
        <v>13241.53</v>
      </c>
      <c r="U33" s="58">
        <v>13241.53</v>
      </c>
      <c r="V33" s="50"/>
      <c r="W33" s="59">
        <v>17655.37</v>
      </c>
      <c r="X33" s="59"/>
      <c r="Y33" s="59"/>
      <c r="Z33" s="50"/>
      <c r="AA33" s="50"/>
      <c r="AB33" s="50"/>
      <c r="AC33" s="67">
        <f t="shared" si="1"/>
        <v>16854.76849642</v>
      </c>
      <c r="AD33" s="67">
        <f>AC33/1</f>
        <v>16854.76849642</v>
      </c>
    </row>
    <row r="34" s="10" customFormat="1" spans="1:30">
      <c r="A34" s="28">
        <v>31</v>
      </c>
      <c r="B34" s="29" t="s">
        <v>71</v>
      </c>
      <c r="C34" s="29" t="s">
        <v>72</v>
      </c>
      <c r="D34" s="30" t="s">
        <v>167</v>
      </c>
      <c r="E34" s="31" t="s">
        <v>74</v>
      </c>
      <c r="F34" s="32" t="s">
        <v>75</v>
      </c>
      <c r="G34" s="33" t="s">
        <v>168</v>
      </c>
      <c r="H34" s="31" t="s">
        <v>169</v>
      </c>
      <c r="I34" s="47">
        <v>42521</v>
      </c>
      <c r="J34" s="48" t="s">
        <v>54</v>
      </c>
      <c r="K34" s="49">
        <v>42522</v>
      </c>
      <c r="L34" s="49">
        <v>44347</v>
      </c>
      <c r="M34" s="50"/>
      <c r="N34" s="50" t="s">
        <v>62</v>
      </c>
      <c r="O34" s="51">
        <v>3500</v>
      </c>
      <c r="P34" s="50"/>
      <c r="Q34" s="57">
        <v>31500</v>
      </c>
      <c r="R34" s="51">
        <v>1475.16</v>
      </c>
      <c r="S34" s="51"/>
      <c r="T34" s="51">
        <v>10500</v>
      </c>
      <c r="U34" s="58">
        <v>10500</v>
      </c>
      <c r="V34" s="50"/>
      <c r="W34" s="59">
        <v>43200</v>
      </c>
      <c r="X34" s="59">
        <v>44400</v>
      </c>
      <c r="Y34" s="59"/>
      <c r="Z34" s="50"/>
      <c r="AA34" s="50"/>
      <c r="AB34" s="50"/>
      <c r="AC34" s="67">
        <f t="shared" si="1"/>
        <v>81705.6179903281</v>
      </c>
      <c r="AD34" s="67">
        <f>AC34/2</f>
        <v>40852.8089951641</v>
      </c>
    </row>
    <row r="35" s="10" customFormat="1" spans="1:30">
      <c r="A35" s="28">
        <v>32</v>
      </c>
      <c r="B35" s="29" t="s">
        <v>71</v>
      </c>
      <c r="C35" s="29" t="s">
        <v>72</v>
      </c>
      <c r="D35" s="30" t="s">
        <v>170</v>
      </c>
      <c r="E35" s="31" t="s">
        <v>74</v>
      </c>
      <c r="F35" s="32" t="s">
        <v>171</v>
      </c>
      <c r="G35" s="33" t="s">
        <v>172</v>
      </c>
      <c r="H35" s="31" t="s">
        <v>173</v>
      </c>
      <c r="I35" s="47">
        <v>42533</v>
      </c>
      <c r="J35" s="48" t="s">
        <v>69</v>
      </c>
      <c r="K35" s="49">
        <v>42552</v>
      </c>
      <c r="L35" s="49">
        <v>43646</v>
      </c>
      <c r="M35" s="50"/>
      <c r="N35" s="50" t="s">
        <v>55</v>
      </c>
      <c r="O35" s="51">
        <v>18455</v>
      </c>
      <c r="P35" s="50"/>
      <c r="Q35" s="57">
        <v>166098</v>
      </c>
      <c r="R35" s="51">
        <v>91886.12</v>
      </c>
      <c r="S35" s="51">
        <v>51063.26</v>
      </c>
      <c r="T35" s="51">
        <v>58938</v>
      </c>
      <c r="U35" s="58">
        <v>58938</v>
      </c>
      <c r="V35" s="50"/>
      <c r="W35" s="59">
        <v>117876</v>
      </c>
      <c r="X35" s="59"/>
      <c r="Y35" s="59"/>
      <c r="Z35" s="50"/>
      <c r="AA35" s="50"/>
      <c r="AB35" s="50"/>
      <c r="AC35" s="67">
        <f t="shared" si="1"/>
        <v>112530.787589499</v>
      </c>
      <c r="AD35" s="67">
        <f>AC35/1</f>
        <v>112530.787589499</v>
      </c>
    </row>
    <row r="36" s="10" customFormat="1" spans="1:29">
      <c r="A36" s="28">
        <v>33</v>
      </c>
      <c r="B36" s="29" t="s">
        <v>71</v>
      </c>
      <c r="C36" s="29" t="s">
        <v>72</v>
      </c>
      <c r="D36" s="30" t="s">
        <v>174</v>
      </c>
      <c r="E36" s="31" t="s">
        <v>74</v>
      </c>
      <c r="F36" s="32" t="s">
        <v>175</v>
      </c>
      <c r="G36" s="33" t="s">
        <v>176</v>
      </c>
      <c r="H36" s="31" t="s">
        <v>177</v>
      </c>
      <c r="I36" s="47">
        <v>42005</v>
      </c>
      <c r="J36" s="48" t="s">
        <v>69</v>
      </c>
      <c r="K36" s="49">
        <v>42005</v>
      </c>
      <c r="L36" s="49">
        <v>43465</v>
      </c>
      <c r="M36" s="50"/>
      <c r="N36" s="50" t="s">
        <v>62</v>
      </c>
      <c r="O36" s="51">
        <v>2432.43</v>
      </c>
      <c r="P36" s="50"/>
      <c r="Q36" s="57">
        <v>21891.87</v>
      </c>
      <c r="R36" s="51">
        <v>19711.38</v>
      </c>
      <c r="S36" s="51">
        <v>730.69</v>
      </c>
      <c r="T36" s="51">
        <v>7297.29</v>
      </c>
      <c r="U36" s="58">
        <v>7297.29</v>
      </c>
      <c r="V36" s="50"/>
      <c r="W36" s="59"/>
      <c r="X36" s="59"/>
      <c r="Y36" s="59"/>
      <c r="Z36" s="50"/>
      <c r="AA36" s="50"/>
      <c r="AB36" s="50"/>
      <c r="AC36" s="67">
        <f t="shared" si="1"/>
        <v>0</v>
      </c>
    </row>
    <row r="37" s="10" customFormat="1" spans="1:30">
      <c r="A37" s="28">
        <v>34</v>
      </c>
      <c r="B37" s="29" t="s">
        <v>71</v>
      </c>
      <c r="C37" s="29" t="s">
        <v>72</v>
      </c>
      <c r="D37" s="30" t="s">
        <v>178</v>
      </c>
      <c r="E37" s="31" t="s">
        <v>74</v>
      </c>
      <c r="F37" s="32" t="s">
        <v>175</v>
      </c>
      <c r="G37" s="33" t="s">
        <v>179</v>
      </c>
      <c r="H37" s="31" t="s">
        <v>180</v>
      </c>
      <c r="I37" s="47">
        <v>43228</v>
      </c>
      <c r="J37" s="48" t="s">
        <v>83</v>
      </c>
      <c r="K37" s="49">
        <v>43230</v>
      </c>
      <c r="L37" s="49">
        <v>43594</v>
      </c>
      <c r="M37" s="50"/>
      <c r="N37" s="50" t="s">
        <v>62</v>
      </c>
      <c r="O37" s="51">
        <v>1658.58</v>
      </c>
      <c r="P37" s="50"/>
      <c r="Q37" s="57">
        <v>14927.22</v>
      </c>
      <c r="R37" s="51">
        <v>8292.9</v>
      </c>
      <c r="S37" s="51">
        <v>0</v>
      </c>
      <c r="T37" s="51">
        <v>4975.74</v>
      </c>
      <c r="U37" s="58">
        <v>4975.74</v>
      </c>
      <c r="V37" s="50"/>
      <c r="W37" s="59">
        <v>8292.9</v>
      </c>
      <c r="X37" s="59"/>
      <c r="Y37" s="59"/>
      <c r="Z37" s="50"/>
      <c r="AA37" s="50"/>
      <c r="AB37" s="50"/>
      <c r="AC37" s="67">
        <f t="shared" si="1"/>
        <v>7916.84964200477</v>
      </c>
      <c r="AD37" s="67">
        <f t="shared" ref="AD37:AD39" si="5">AC37/1</f>
        <v>7916.84964200477</v>
      </c>
    </row>
    <row r="38" s="10" customFormat="1" spans="1:30">
      <c r="A38" s="28">
        <v>35</v>
      </c>
      <c r="B38" s="29" t="s">
        <v>71</v>
      </c>
      <c r="C38" s="29" t="s">
        <v>72</v>
      </c>
      <c r="D38" s="30" t="s">
        <v>181</v>
      </c>
      <c r="E38" s="31" t="s">
        <v>74</v>
      </c>
      <c r="F38" s="32" t="s">
        <v>175</v>
      </c>
      <c r="G38" s="33" t="s">
        <v>182</v>
      </c>
      <c r="H38" s="31" t="s">
        <v>183</v>
      </c>
      <c r="I38" s="47">
        <v>43243</v>
      </c>
      <c r="J38" s="48" t="s">
        <v>83</v>
      </c>
      <c r="K38" s="49">
        <v>43252</v>
      </c>
      <c r="L38" s="49">
        <v>43616</v>
      </c>
      <c r="M38" s="50"/>
      <c r="N38" s="50" t="s">
        <v>62</v>
      </c>
      <c r="O38" s="51">
        <v>2087.27</v>
      </c>
      <c r="P38" s="50"/>
      <c r="Q38" s="57">
        <v>18785.43</v>
      </c>
      <c r="R38" s="51">
        <v>8349.08</v>
      </c>
      <c r="S38" s="51">
        <v>0</v>
      </c>
      <c r="T38" s="51">
        <v>6261.81</v>
      </c>
      <c r="U38" s="58">
        <v>6261.81</v>
      </c>
      <c r="V38" s="50"/>
      <c r="W38" s="59">
        <v>10436.35</v>
      </c>
      <c r="X38" s="59"/>
      <c r="Y38" s="59"/>
      <c r="Z38" s="50"/>
      <c r="AA38" s="50"/>
      <c r="AB38" s="50"/>
      <c r="AC38" s="67">
        <f t="shared" si="1"/>
        <v>9963.10262529833</v>
      </c>
      <c r="AD38" s="67">
        <f t="shared" si="5"/>
        <v>9963.10262529833</v>
      </c>
    </row>
    <row r="39" s="10" customFormat="1" spans="1:30">
      <c r="A39" s="28">
        <v>36</v>
      </c>
      <c r="B39" s="29" t="s">
        <v>71</v>
      </c>
      <c r="C39" s="29" t="s">
        <v>72</v>
      </c>
      <c r="D39" s="30" t="s">
        <v>184</v>
      </c>
      <c r="E39" s="31" t="s">
        <v>74</v>
      </c>
      <c r="F39" s="32" t="s">
        <v>175</v>
      </c>
      <c r="G39" s="33" t="s">
        <v>185</v>
      </c>
      <c r="H39" s="31" t="s">
        <v>186</v>
      </c>
      <c r="I39" s="47">
        <v>43205</v>
      </c>
      <c r="J39" s="48" t="s">
        <v>83</v>
      </c>
      <c r="K39" s="49">
        <v>43221</v>
      </c>
      <c r="L39" s="49">
        <v>43585</v>
      </c>
      <c r="M39" s="50"/>
      <c r="N39" s="50" t="s">
        <v>62</v>
      </c>
      <c r="O39" s="51">
        <v>1165.05</v>
      </c>
      <c r="P39" s="50"/>
      <c r="Q39" s="57">
        <v>10485.45</v>
      </c>
      <c r="R39" s="51">
        <v>5825.25</v>
      </c>
      <c r="S39" s="51">
        <v>0</v>
      </c>
      <c r="T39" s="51">
        <v>3495.15</v>
      </c>
      <c r="U39" s="58">
        <v>3495.15</v>
      </c>
      <c r="V39" s="50"/>
      <c r="W39" s="59">
        <v>4660.2</v>
      </c>
      <c r="X39" s="59"/>
      <c r="Y39" s="59"/>
      <c r="Z39" s="50"/>
      <c r="AA39" s="50"/>
      <c r="AB39" s="50"/>
      <c r="AC39" s="67">
        <f t="shared" si="1"/>
        <v>4448.87828162291</v>
      </c>
      <c r="AD39" s="67">
        <f t="shared" si="5"/>
        <v>4448.87828162291</v>
      </c>
    </row>
    <row r="40" s="10" customFormat="1" spans="1:30">
      <c r="A40" s="28">
        <v>37</v>
      </c>
      <c r="B40" s="29" t="s">
        <v>187</v>
      </c>
      <c r="C40" s="29" t="s">
        <v>188</v>
      </c>
      <c r="D40" s="30" t="s">
        <v>189</v>
      </c>
      <c r="E40" s="31" t="s">
        <v>190</v>
      </c>
      <c r="F40" s="32" t="s">
        <v>191</v>
      </c>
      <c r="G40" s="33" t="s">
        <v>192</v>
      </c>
      <c r="H40" s="31" t="s">
        <v>193</v>
      </c>
      <c r="I40" s="47">
        <v>43164</v>
      </c>
      <c r="J40" s="48" t="s">
        <v>54</v>
      </c>
      <c r="K40" s="49">
        <v>43191</v>
      </c>
      <c r="L40" s="49">
        <v>45016</v>
      </c>
      <c r="M40" s="50"/>
      <c r="N40" s="50" t="s">
        <v>62</v>
      </c>
      <c r="O40" s="51">
        <v>111731.13</v>
      </c>
      <c r="P40" s="50"/>
      <c r="Q40" s="57">
        <f>O40*6</f>
        <v>670386.78</v>
      </c>
      <c r="R40" s="51">
        <v>319231.8</v>
      </c>
      <c r="S40" s="51">
        <v>335193.39</v>
      </c>
      <c r="T40" s="51">
        <v>319231.8</v>
      </c>
      <c r="U40" s="58">
        <f>R40+S40+T40</f>
        <v>973656.99</v>
      </c>
      <c r="V40" s="50"/>
      <c r="W40" s="59">
        <f>(O40/1.05)*12</f>
        <v>1276927.2</v>
      </c>
      <c r="X40" s="59">
        <f>(O40/1.05)*12</f>
        <v>1276927.2</v>
      </c>
      <c r="Y40" s="59">
        <f>(O40/1.05)*3+(117317.69/1.05)*9</f>
        <v>1324812</v>
      </c>
      <c r="Z40" s="50">
        <f>(117317.69/1.05)*3+(122904.24/1.05)*9</f>
        <v>1388658.31428571</v>
      </c>
      <c r="AA40" s="50">
        <f>122904.24/1.05*3</f>
        <v>351154.971428571</v>
      </c>
      <c r="AB40" s="50"/>
      <c r="AC40" s="67">
        <f t="shared" si="1"/>
        <v>4967241.49297951</v>
      </c>
      <c r="AD40" s="67">
        <f>AC40/5</f>
        <v>993448.298595901</v>
      </c>
    </row>
    <row r="41" s="10" customFormat="1" spans="1:29">
      <c r="A41" s="28">
        <v>38</v>
      </c>
      <c r="B41" s="29" t="s">
        <v>187</v>
      </c>
      <c r="C41" s="29" t="s">
        <v>188</v>
      </c>
      <c r="D41" s="30"/>
      <c r="E41" s="31" t="s">
        <v>190</v>
      </c>
      <c r="F41" s="32" t="s">
        <v>191</v>
      </c>
      <c r="G41" s="33" t="s">
        <v>194</v>
      </c>
      <c r="H41" s="31" t="s">
        <v>195</v>
      </c>
      <c r="I41" s="47">
        <v>40219</v>
      </c>
      <c r="J41" s="48" t="s">
        <v>196</v>
      </c>
      <c r="K41" s="49">
        <v>40238</v>
      </c>
      <c r="L41" s="49">
        <v>43524</v>
      </c>
      <c r="M41" s="50"/>
      <c r="N41" s="50" t="s">
        <v>62</v>
      </c>
      <c r="O41" s="51">
        <v>59931.2</v>
      </c>
      <c r="P41" s="50"/>
      <c r="Q41" s="57">
        <f>O41/1.06*3</f>
        <v>169616.603773585</v>
      </c>
      <c r="R41" s="51">
        <f>161976.21</f>
        <v>161976.21</v>
      </c>
      <c r="S41" s="51"/>
      <c r="T41" s="51"/>
      <c r="U41" s="58">
        <f t="shared" ref="U41:U50" si="6">R41+S41+T41</f>
        <v>161976.21</v>
      </c>
      <c r="V41" s="50"/>
      <c r="W41" s="59"/>
      <c r="X41" s="59"/>
      <c r="Y41" s="59"/>
      <c r="Z41" s="50"/>
      <c r="AA41" s="50"/>
      <c r="AB41" s="50"/>
      <c r="AC41" s="67">
        <f t="shared" si="1"/>
        <v>0</v>
      </c>
    </row>
    <row r="42" s="10" customFormat="1" spans="1:29">
      <c r="A42" s="28">
        <v>39</v>
      </c>
      <c r="B42" s="29" t="s">
        <v>187</v>
      </c>
      <c r="C42" s="29" t="s">
        <v>197</v>
      </c>
      <c r="D42" s="30" t="s">
        <v>198</v>
      </c>
      <c r="E42" s="31" t="s">
        <v>190</v>
      </c>
      <c r="F42" s="32" t="s">
        <v>199</v>
      </c>
      <c r="G42" s="33" t="s">
        <v>200</v>
      </c>
      <c r="H42" s="31" t="s">
        <v>201</v>
      </c>
      <c r="I42" s="47">
        <v>42552</v>
      </c>
      <c r="J42" s="48" t="s">
        <v>54</v>
      </c>
      <c r="K42" s="49">
        <v>42552</v>
      </c>
      <c r="L42" s="49">
        <v>44377</v>
      </c>
      <c r="M42" s="50"/>
      <c r="N42" s="50" t="s">
        <v>62</v>
      </c>
      <c r="O42" s="51">
        <v>18640</v>
      </c>
      <c r="P42" s="50"/>
      <c r="Q42" s="57">
        <f>O42/1.05*6</f>
        <v>106514.285714286</v>
      </c>
      <c r="R42" s="51">
        <v>106514.29</v>
      </c>
      <c r="S42" s="51"/>
      <c r="T42" s="51"/>
      <c r="U42" s="58">
        <f t="shared" si="6"/>
        <v>106514.29</v>
      </c>
      <c r="V42" s="50"/>
      <c r="W42" s="59"/>
      <c r="X42" s="59"/>
      <c r="Y42" s="59"/>
      <c r="Z42" s="50"/>
      <c r="AA42" s="50"/>
      <c r="AB42" s="50"/>
      <c r="AC42" s="67">
        <f t="shared" si="1"/>
        <v>0</v>
      </c>
    </row>
    <row r="43" s="10" customFormat="1" spans="1:30">
      <c r="A43" s="28">
        <v>40</v>
      </c>
      <c r="B43" s="29" t="s">
        <v>187</v>
      </c>
      <c r="C43" s="29" t="s">
        <v>197</v>
      </c>
      <c r="D43" s="30" t="s">
        <v>198</v>
      </c>
      <c r="E43" s="31" t="s">
        <v>190</v>
      </c>
      <c r="F43" s="32" t="s">
        <v>199</v>
      </c>
      <c r="G43" s="33" t="s">
        <v>202</v>
      </c>
      <c r="H43" s="31" t="s">
        <v>203</v>
      </c>
      <c r="I43" s="47">
        <v>43256</v>
      </c>
      <c r="J43" s="48" t="s">
        <v>69</v>
      </c>
      <c r="K43" s="49">
        <v>43282</v>
      </c>
      <c r="L43" s="49">
        <v>44377</v>
      </c>
      <c r="M43" s="50"/>
      <c r="N43" s="50" t="s">
        <v>62</v>
      </c>
      <c r="O43" s="51">
        <v>19778</v>
      </c>
      <c r="P43" s="50"/>
      <c r="Q43" s="57">
        <f>O43/1.05*3</f>
        <v>56508.5714285714</v>
      </c>
      <c r="R43" s="51"/>
      <c r="S43" s="51">
        <v>56508.57</v>
      </c>
      <c r="T43" s="51">
        <v>56508.57</v>
      </c>
      <c r="U43" s="58">
        <f t="shared" si="6"/>
        <v>113017.14</v>
      </c>
      <c r="V43" s="50"/>
      <c r="W43" s="59">
        <f>O43/1.05*6+20917/1.05*6</f>
        <v>232542.857142857</v>
      </c>
      <c r="X43" s="59">
        <f>20917/1.05*6+22197/1.05*6</f>
        <v>246365.714285714</v>
      </c>
      <c r="Y43" s="59">
        <f>22197/1.05*6</f>
        <v>126840</v>
      </c>
      <c r="Z43" s="50"/>
      <c r="AA43" s="50"/>
      <c r="AB43" s="50"/>
      <c r="AC43" s="67">
        <f t="shared" si="1"/>
        <v>556882.371489902</v>
      </c>
      <c r="AD43" s="67">
        <f t="shared" ref="AD43:AD45" si="7">AC43/3</f>
        <v>185627.457163301</v>
      </c>
    </row>
    <row r="44" s="10" customFormat="1" spans="1:30">
      <c r="A44" s="28">
        <v>41</v>
      </c>
      <c r="B44" s="29" t="s">
        <v>187</v>
      </c>
      <c r="C44" s="29" t="s">
        <v>204</v>
      </c>
      <c r="D44" s="30"/>
      <c r="E44" s="31" t="s">
        <v>190</v>
      </c>
      <c r="F44" s="32" t="s">
        <v>205</v>
      </c>
      <c r="G44" s="33" t="s">
        <v>206</v>
      </c>
      <c r="H44" s="31" t="s">
        <v>207</v>
      </c>
      <c r="I44" s="47">
        <v>42590</v>
      </c>
      <c r="J44" s="48" t="s">
        <v>54</v>
      </c>
      <c r="K44" s="49">
        <v>42586</v>
      </c>
      <c r="L44" s="49">
        <v>44411</v>
      </c>
      <c r="M44" s="50"/>
      <c r="N44" s="50" t="s">
        <v>62</v>
      </c>
      <c r="O44" s="51">
        <v>7473</v>
      </c>
      <c r="P44" s="50"/>
      <c r="Q44" s="57">
        <f>O44*9</f>
        <v>67257</v>
      </c>
      <c r="R44" s="51">
        <f>37365+14946</f>
        <v>52311</v>
      </c>
      <c r="S44" s="51">
        <v>14946</v>
      </c>
      <c r="T44" s="51">
        <f>O44*3</f>
        <v>22419</v>
      </c>
      <c r="U44" s="58">
        <f t="shared" si="6"/>
        <v>89676</v>
      </c>
      <c r="V44" s="50"/>
      <c r="W44" s="59">
        <f>7473*7+8039*5</f>
        <v>92506</v>
      </c>
      <c r="X44" s="59">
        <f>8039*7+8606*5</f>
        <v>99303</v>
      </c>
      <c r="Y44" s="59">
        <f>8606*7</f>
        <v>60242</v>
      </c>
      <c r="Z44" s="50"/>
      <c r="AA44" s="50"/>
      <c r="AB44" s="50"/>
      <c r="AC44" s="67">
        <f t="shared" si="1"/>
        <v>231225.201524104</v>
      </c>
      <c r="AD44" s="67">
        <f t="shared" si="7"/>
        <v>77075.0671747014</v>
      </c>
    </row>
    <row r="45" s="10" customFormat="1" spans="1:30">
      <c r="A45" s="28">
        <v>42</v>
      </c>
      <c r="B45" s="29" t="s">
        <v>187</v>
      </c>
      <c r="C45" s="29" t="s">
        <v>208</v>
      </c>
      <c r="D45" s="30" t="s">
        <v>209</v>
      </c>
      <c r="E45" s="31" t="s">
        <v>190</v>
      </c>
      <c r="F45" s="32" t="s">
        <v>210</v>
      </c>
      <c r="G45" s="33" t="s">
        <v>211</v>
      </c>
      <c r="H45" s="31" t="s">
        <v>212</v>
      </c>
      <c r="I45" s="47">
        <v>42935</v>
      </c>
      <c r="J45" s="48" t="s">
        <v>213</v>
      </c>
      <c r="K45" s="49">
        <v>42948</v>
      </c>
      <c r="L45" s="49">
        <v>44408</v>
      </c>
      <c r="M45" s="50"/>
      <c r="N45" s="50" t="s">
        <v>62</v>
      </c>
      <c r="O45" s="51">
        <v>4068</v>
      </c>
      <c r="P45" s="50"/>
      <c r="Q45" s="57">
        <f>O45/1.05*9</f>
        <v>34868.5714285714</v>
      </c>
      <c r="R45" s="51">
        <f>23245.72+11622.86</f>
        <v>34868.58</v>
      </c>
      <c r="S45" s="51"/>
      <c r="T45" s="51">
        <f>O45/1.05*3</f>
        <v>11622.8571428571</v>
      </c>
      <c r="U45" s="58">
        <f t="shared" si="6"/>
        <v>46491.4371428571</v>
      </c>
      <c r="V45" s="50"/>
      <c r="W45" s="59">
        <f>4068*7+4393.44*5</f>
        <v>50443.2</v>
      </c>
      <c r="X45" s="59">
        <f>4393.44*12</f>
        <v>52721.28</v>
      </c>
      <c r="Y45" s="59">
        <f>4393.44*7</f>
        <v>30754.08</v>
      </c>
      <c r="Z45" s="50"/>
      <c r="AA45" s="50"/>
      <c r="AB45" s="50"/>
      <c r="AC45" s="67">
        <f t="shared" si="1"/>
        <v>122961.282362212</v>
      </c>
      <c r="AD45" s="67">
        <f t="shared" si="7"/>
        <v>40987.0941207374</v>
      </c>
    </row>
    <row r="46" s="10" customFormat="1" spans="1:30">
      <c r="A46" s="28">
        <v>43</v>
      </c>
      <c r="B46" s="29" t="s">
        <v>187</v>
      </c>
      <c r="C46" s="29" t="s">
        <v>214</v>
      </c>
      <c r="D46" s="30" t="s">
        <v>215</v>
      </c>
      <c r="E46" s="31" t="s">
        <v>190</v>
      </c>
      <c r="F46" s="32" t="s">
        <v>216</v>
      </c>
      <c r="G46" s="33" t="s">
        <v>217</v>
      </c>
      <c r="H46" s="31" t="s">
        <v>218</v>
      </c>
      <c r="I46" s="47">
        <v>42913</v>
      </c>
      <c r="J46" s="48" t="s">
        <v>219</v>
      </c>
      <c r="K46" s="49">
        <v>42917</v>
      </c>
      <c r="L46" s="49">
        <v>45107</v>
      </c>
      <c r="M46" s="50"/>
      <c r="N46" s="50" t="s">
        <v>62</v>
      </c>
      <c r="O46" s="51">
        <v>7441</v>
      </c>
      <c r="P46" s="50"/>
      <c r="Q46" s="57">
        <f>O46*9</f>
        <v>66969</v>
      </c>
      <c r="R46" s="51">
        <f>44646</f>
        <v>44646</v>
      </c>
      <c r="S46" s="51">
        <v>22323</v>
      </c>
      <c r="T46" s="51">
        <f>O46*3</f>
        <v>22323</v>
      </c>
      <c r="U46" s="58">
        <f t="shared" si="6"/>
        <v>89292</v>
      </c>
      <c r="V46" s="50"/>
      <c r="W46" s="59">
        <f>7441*6+8185*6</f>
        <v>93756</v>
      </c>
      <c r="X46" s="59">
        <f>8185*12</f>
        <v>98220</v>
      </c>
      <c r="Y46" s="59">
        <f>8185*6+9003*6</f>
        <v>103128</v>
      </c>
      <c r="Z46" s="50">
        <f>9003*12</f>
        <v>108036</v>
      </c>
      <c r="AA46" s="50">
        <f>9003*6</f>
        <v>54018</v>
      </c>
      <c r="AB46" s="50"/>
      <c r="AC46" s="67">
        <f t="shared" si="1"/>
        <v>401308.970562104</v>
      </c>
      <c r="AD46" s="67">
        <f>AC46/5</f>
        <v>80261.7941124207</v>
      </c>
    </row>
    <row r="47" s="10" customFormat="1" spans="1:30">
      <c r="A47" s="28">
        <v>44</v>
      </c>
      <c r="B47" s="29" t="s">
        <v>187</v>
      </c>
      <c r="C47" s="29" t="s">
        <v>220</v>
      </c>
      <c r="D47" s="30" t="s">
        <v>221</v>
      </c>
      <c r="E47" s="31" t="s">
        <v>190</v>
      </c>
      <c r="F47" s="32" t="s">
        <v>222</v>
      </c>
      <c r="G47" s="33" t="s">
        <v>223</v>
      </c>
      <c r="H47" s="31" t="s">
        <v>224</v>
      </c>
      <c r="I47" s="47">
        <v>41872</v>
      </c>
      <c r="J47" s="48" t="s">
        <v>54</v>
      </c>
      <c r="K47" s="49">
        <v>41872</v>
      </c>
      <c r="L47" s="49">
        <v>43697</v>
      </c>
      <c r="M47" s="50"/>
      <c r="N47" s="50" t="s">
        <v>62</v>
      </c>
      <c r="O47" s="51">
        <v>6567</v>
      </c>
      <c r="P47" s="50"/>
      <c r="Q47" s="57">
        <f>O47*8+7359.67</f>
        <v>59895.67</v>
      </c>
      <c r="R47" s="51">
        <v>39402</v>
      </c>
      <c r="S47" s="51">
        <v>20493.67</v>
      </c>
      <c r="T47" s="51">
        <v>22079</v>
      </c>
      <c r="U47" s="58">
        <f t="shared" si="6"/>
        <v>81974.67</v>
      </c>
      <c r="V47" s="50"/>
      <c r="W47" s="59">
        <f>7359.67*8</f>
        <v>58877.36</v>
      </c>
      <c r="X47" s="59"/>
      <c r="Y47" s="59"/>
      <c r="Z47" s="50"/>
      <c r="AA47" s="50"/>
      <c r="AB47" s="50"/>
      <c r="AC47" s="67">
        <f t="shared" si="1"/>
        <v>56207.5035799523</v>
      </c>
      <c r="AD47" s="67">
        <f>AC47/1</f>
        <v>56207.5035799523</v>
      </c>
    </row>
    <row r="48" s="10" customFormat="1" spans="1:30">
      <c r="A48" s="28">
        <v>45</v>
      </c>
      <c r="B48" s="29" t="s">
        <v>187</v>
      </c>
      <c r="C48" s="29" t="s">
        <v>225</v>
      </c>
      <c r="D48" s="30" t="s">
        <v>226</v>
      </c>
      <c r="E48" s="31" t="s">
        <v>190</v>
      </c>
      <c r="F48" s="32" t="s">
        <v>227</v>
      </c>
      <c r="G48" s="33" t="s">
        <v>228</v>
      </c>
      <c r="H48" s="31" t="s">
        <v>229</v>
      </c>
      <c r="I48" s="47">
        <v>42948</v>
      </c>
      <c r="J48" s="48" t="s">
        <v>54</v>
      </c>
      <c r="K48" s="49">
        <v>43009</v>
      </c>
      <c r="L48" s="49">
        <v>44834</v>
      </c>
      <c r="M48" s="50"/>
      <c r="N48" s="50" t="s">
        <v>62</v>
      </c>
      <c r="O48" s="51">
        <v>3330</v>
      </c>
      <c r="P48" s="50"/>
      <c r="Q48" s="57">
        <f>O48*9</f>
        <v>29970</v>
      </c>
      <c r="R48" s="51">
        <f>33300+19980-9990</f>
        <v>43290</v>
      </c>
      <c r="S48" s="51"/>
      <c r="T48" s="51"/>
      <c r="U48" s="58">
        <f t="shared" si="6"/>
        <v>43290</v>
      </c>
      <c r="V48" s="50"/>
      <c r="W48" s="59">
        <f>3330*12</f>
        <v>39960</v>
      </c>
      <c r="X48" s="59">
        <f>3330*3+3685*9</f>
        <v>43155</v>
      </c>
      <c r="Y48" s="59">
        <f>3685*12</f>
        <v>44220</v>
      </c>
      <c r="Z48" s="50">
        <f>3685*9</f>
        <v>33165</v>
      </c>
      <c r="AA48" s="50"/>
      <c r="AB48" s="50"/>
      <c r="AC48" s="67">
        <f t="shared" si="1"/>
        <v>143497.281405522</v>
      </c>
      <c r="AD48" s="68">
        <f>AC48/4</f>
        <v>35874.3203513806</v>
      </c>
    </row>
    <row r="49" s="10" customFormat="1" spans="1:30">
      <c r="A49" s="28">
        <v>46</v>
      </c>
      <c r="B49" s="29" t="s">
        <v>187</v>
      </c>
      <c r="C49" s="29" t="s">
        <v>230</v>
      </c>
      <c r="D49" s="30" t="s">
        <v>231</v>
      </c>
      <c r="E49" s="31" t="s">
        <v>190</v>
      </c>
      <c r="F49" s="32" t="s">
        <v>232</v>
      </c>
      <c r="G49" s="33" t="s">
        <v>233</v>
      </c>
      <c r="H49" s="31" t="s">
        <v>234</v>
      </c>
      <c r="I49" s="47">
        <v>43301</v>
      </c>
      <c r="J49" s="48" t="s">
        <v>54</v>
      </c>
      <c r="K49" s="49">
        <v>43304</v>
      </c>
      <c r="L49" s="49">
        <v>45129</v>
      </c>
      <c r="M49" s="50"/>
      <c r="N49" s="50" t="s">
        <v>62</v>
      </c>
      <c r="O49" s="51">
        <v>4742</v>
      </c>
      <c r="P49" s="50"/>
      <c r="Q49" s="57">
        <f>4742*5</f>
        <v>23710</v>
      </c>
      <c r="R49" s="51">
        <v>14226</v>
      </c>
      <c r="S49" s="51"/>
      <c r="T49" s="51">
        <v>14226</v>
      </c>
      <c r="U49" s="58">
        <f t="shared" si="6"/>
        <v>28452</v>
      </c>
      <c r="V49" s="50"/>
      <c r="W49" s="59">
        <f>4742*12</f>
        <v>56904</v>
      </c>
      <c r="X49" s="59">
        <f>4742*5+5419*7</f>
        <v>61643</v>
      </c>
      <c r="Y49" s="59">
        <f>5419*12</f>
        <v>65028</v>
      </c>
      <c r="Z49" s="50">
        <f>5419*7+6096*5</f>
        <v>68413</v>
      </c>
      <c r="AA49" s="50">
        <f>6096*7</f>
        <v>42672</v>
      </c>
      <c r="AB49" s="50"/>
      <c r="AC49" s="67">
        <f t="shared" si="1"/>
        <v>257737.940219314</v>
      </c>
      <c r="AD49" s="67">
        <f>AC49/5</f>
        <v>51547.5880438628</v>
      </c>
    </row>
    <row r="50" s="10" customFormat="1" spans="1:29">
      <c r="A50" s="28">
        <v>47</v>
      </c>
      <c r="B50" s="29" t="s">
        <v>235</v>
      </c>
      <c r="C50" s="29" t="s">
        <v>236</v>
      </c>
      <c r="D50" s="30"/>
      <c r="E50" s="31" t="s">
        <v>237</v>
      </c>
      <c r="F50" s="32" t="s">
        <v>238</v>
      </c>
      <c r="G50" s="33" t="s">
        <v>239</v>
      </c>
      <c r="H50" s="31" t="s">
        <v>240</v>
      </c>
      <c r="I50" s="47">
        <v>42560</v>
      </c>
      <c r="J50" s="48" t="s">
        <v>241</v>
      </c>
      <c r="K50" s="49">
        <v>42560</v>
      </c>
      <c r="L50" s="49">
        <v>43838</v>
      </c>
      <c r="M50" s="50"/>
      <c r="N50" s="50" t="s">
        <v>62</v>
      </c>
      <c r="O50" s="51">
        <v>26983.68</v>
      </c>
      <c r="P50" s="50"/>
      <c r="Q50" s="57">
        <v>242853.12</v>
      </c>
      <c r="R50" s="51">
        <v>50883.53</v>
      </c>
      <c r="S50" s="51">
        <v>103308.98</v>
      </c>
      <c r="T50" s="51">
        <v>161902.1</v>
      </c>
      <c r="U50" s="58">
        <f t="shared" si="6"/>
        <v>316094.61</v>
      </c>
      <c r="V50" s="50"/>
      <c r="W50" s="59"/>
      <c r="X50" s="59"/>
      <c r="Y50" s="59"/>
      <c r="Z50" s="50"/>
      <c r="AA50" s="50"/>
      <c r="AB50" s="50"/>
      <c r="AC50" s="67">
        <f t="shared" si="1"/>
        <v>0</v>
      </c>
    </row>
    <row r="51" s="10" customFormat="1" spans="1:30">
      <c r="A51" s="28">
        <v>48</v>
      </c>
      <c r="B51" s="29" t="s">
        <v>235</v>
      </c>
      <c r="C51" s="29" t="s">
        <v>242</v>
      </c>
      <c r="D51" s="30"/>
      <c r="E51" s="31" t="s">
        <v>237</v>
      </c>
      <c r="F51" s="32" t="s">
        <v>238</v>
      </c>
      <c r="G51" s="33" t="s">
        <v>243</v>
      </c>
      <c r="H51" s="31" t="s">
        <v>244</v>
      </c>
      <c r="I51" s="47">
        <v>42600</v>
      </c>
      <c r="J51" s="48" t="s">
        <v>69</v>
      </c>
      <c r="K51" s="49">
        <v>42628</v>
      </c>
      <c r="L51" s="49">
        <v>43722</v>
      </c>
      <c r="M51" s="50"/>
      <c r="N51" s="50" t="s">
        <v>62</v>
      </c>
      <c r="O51" s="51">
        <v>10533.75</v>
      </c>
      <c r="P51" s="50"/>
      <c r="Q51" s="57">
        <v>94803.75</v>
      </c>
      <c r="R51" s="51">
        <v>39727.28</v>
      </c>
      <c r="S51" s="51">
        <v>80658.43</v>
      </c>
      <c r="T51" s="51">
        <v>40128.57</v>
      </c>
      <c r="U51" s="58">
        <f t="shared" ref="U51:U62" si="8">R51+S51+T51</f>
        <v>160514.28</v>
      </c>
      <c r="V51" s="50"/>
      <c r="W51" s="59">
        <v>126405</v>
      </c>
      <c r="X51" s="59">
        <v>0</v>
      </c>
      <c r="Y51" s="59"/>
      <c r="Z51" s="50"/>
      <c r="AA51" s="50"/>
      <c r="AB51" s="50"/>
      <c r="AC51" s="67">
        <f t="shared" si="1"/>
        <v>120673.031026253</v>
      </c>
      <c r="AD51" s="67">
        <f>AC51/1</f>
        <v>120673.031026253</v>
      </c>
    </row>
    <row r="52" s="10" customFormat="1" spans="1:30">
      <c r="A52" s="28">
        <v>49</v>
      </c>
      <c r="B52" s="29" t="s">
        <v>235</v>
      </c>
      <c r="C52" s="29" t="s">
        <v>245</v>
      </c>
      <c r="D52" s="30" t="s">
        <v>246</v>
      </c>
      <c r="E52" s="31" t="s">
        <v>237</v>
      </c>
      <c r="F52" s="32" t="s">
        <v>238</v>
      </c>
      <c r="G52" s="33" t="s">
        <v>247</v>
      </c>
      <c r="H52" s="31" t="s">
        <v>248</v>
      </c>
      <c r="I52" s="47">
        <v>42853</v>
      </c>
      <c r="J52" s="48" t="s">
        <v>69</v>
      </c>
      <c r="K52" s="49">
        <v>42936</v>
      </c>
      <c r="L52" s="49">
        <v>44031</v>
      </c>
      <c r="M52" s="50"/>
      <c r="N52" s="50" t="s">
        <v>62</v>
      </c>
      <c r="O52" s="51">
        <v>5595.6</v>
      </c>
      <c r="P52" s="50"/>
      <c r="Q52" s="57">
        <v>50360.4</v>
      </c>
      <c r="R52" s="51">
        <v>23955.29</v>
      </c>
      <c r="S52" s="51">
        <v>48636.51</v>
      </c>
      <c r="T52" s="51">
        <v>24197.27</v>
      </c>
      <c r="U52" s="58">
        <f t="shared" si="8"/>
        <v>96789.07</v>
      </c>
      <c r="V52" s="50"/>
      <c r="W52" s="59">
        <v>67147.2</v>
      </c>
      <c r="X52" s="59">
        <v>39169.2</v>
      </c>
      <c r="Y52" s="59"/>
      <c r="Z52" s="50"/>
      <c r="AA52" s="50"/>
      <c r="AB52" s="50"/>
      <c r="AC52" s="67">
        <f t="shared" si="1"/>
        <v>99799.7432231532</v>
      </c>
      <c r="AD52" s="67">
        <f t="shared" ref="AD52:AD53" si="9">AC52/2</f>
        <v>49899.8716115766</v>
      </c>
    </row>
    <row r="53" s="10" customFormat="1" spans="1:30">
      <c r="A53" s="28">
        <v>50</v>
      </c>
      <c r="B53" s="29" t="s">
        <v>235</v>
      </c>
      <c r="C53" s="29" t="s">
        <v>249</v>
      </c>
      <c r="D53" s="30" t="s">
        <v>250</v>
      </c>
      <c r="E53" s="31" t="s">
        <v>237</v>
      </c>
      <c r="F53" s="32" t="s">
        <v>251</v>
      </c>
      <c r="G53" s="33" t="s">
        <v>252</v>
      </c>
      <c r="H53" s="31" t="s">
        <v>253</v>
      </c>
      <c r="I53" s="47">
        <v>42908</v>
      </c>
      <c r="J53" s="48" t="s">
        <v>69</v>
      </c>
      <c r="K53" s="49">
        <v>42948</v>
      </c>
      <c r="L53" s="49">
        <v>44043</v>
      </c>
      <c r="M53" s="50"/>
      <c r="N53" s="50" t="s">
        <v>62</v>
      </c>
      <c r="O53" s="51">
        <v>7500</v>
      </c>
      <c r="P53" s="50"/>
      <c r="Q53" s="57">
        <v>67500</v>
      </c>
      <c r="R53" s="51">
        <v>32177.26</v>
      </c>
      <c r="S53" s="51">
        <v>65329.58</v>
      </c>
      <c r="T53" s="51">
        <v>32505.28</v>
      </c>
      <c r="U53" s="58">
        <f t="shared" si="8"/>
        <v>130012.12</v>
      </c>
      <c r="V53" s="50"/>
      <c r="W53" s="59">
        <v>95000.04</v>
      </c>
      <c r="X53" s="59">
        <v>55416.69</v>
      </c>
      <c r="Y53" s="59"/>
      <c r="Z53" s="50"/>
      <c r="AA53" s="50"/>
      <c r="AB53" s="50"/>
      <c r="AC53" s="67">
        <f t="shared" si="1"/>
        <v>141196.946383308</v>
      </c>
      <c r="AD53" s="67">
        <f t="shared" si="9"/>
        <v>70598.4731916542</v>
      </c>
    </row>
    <row r="54" s="10" customFormat="1" spans="1:30">
      <c r="A54" s="28">
        <v>51</v>
      </c>
      <c r="B54" s="29" t="s">
        <v>235</v>
      </c>
      <c r="C54" s="29" t="s">
        <v>254</v>
      </c>
      <c r="D54" s="30"/>
      <c r="E54" s="31" t="s">
        <v>237</v>
      </c>
      <c r="F54" s="32" t="s">
        <v>255</v>
      </c>
      <c r="G54" s="33" t="s">
        <v>256</v>
      </c>
      <c r="H54" s="31" t="s">
        <v>257</v>
      </c>
      <c r="I54" s="47"/>
      <c r="J54" s="48" t="s">
        <v>54</v>
      </c>
      <c r="K54" s="49">
        <v>42926</v>
      </c>
      <c r="L54" s="49">
        <v>44751</v>
      </c>
      <c r="M54" s="50"/>
      <c r="N54" s="50" t="s">
        <v>62</v>
      </c>
      <c r="O54" s="51">
        <v>6737</v>
      </c>
      <c r="P54" s="50"/>
      <c r="Q54" s="57">
        <v>60633</v>
      </c>
      <c r="R54" s="51">
        <v>25408.74</v>
      </c>
      <c r="S54" s="51">
        <v>51587.45</v>
      </c>
      <c r="T54" s="51">
        <v>25665.4</v>
      </c>
      <c r="U54" s="58">
        <f t="shared" si="8"/>
        <v>102661.59</v>
      </c>
      <c r="V54" s="50"/>
      <c r="W54" s="59">
        <v>83268</v>
      </c>
      <c r="X54" s="59">
        <v>85692</v>
      </c>
      <c r="Y54" s="59">
        <v>85692</v>
      </c>
      <c r="Z54" s="50">
        <v>49987</v>
      </c>
      <c r="AA54" s="50"/>
      <c r="AB54" s="50"/>
      <c r="AC54" s="67">
        <f t="shared" si="1"/>
        <v>273662.414389249</v>
      </c>
      <c r="AD54" s="68">
        <f>AC54/4</f>
        <v>68415.6035973122</v>
      </c>
    </row>
    <row r="55" s="10" customFormat="1" spans="1:29">
      <c r="A55" s="28">
        <v>52</v>
      </c>
      <c r="B55" s="29" t="s">
        <v>235</v>
      </c>
      <c r="C55" s="29" t="s">
        <v>258</v>
      </c>
      <c r="D55" s="30"/>
      <c r="E55" s="31" t="s">
        <v>237</v>
      </c>
      <c r="F55" s="32" t="s">
        <v>259</v>
      </c>
      <c r="G55" s="33" t="s">
        <v>260</v>
      </c>
      <c r="H55" s="31" t="s">
        <v>261</v>
      </c>
      <c r="I55" s="47"/>
      <c r="J55" s="48" t="s">
        <v>54</v>
      </c>
      <c r="K55" s="49">
        <v>41518</v>
      </c>
      <c r="L55" s="49">
        <v>43343</v>
      </c>
      <c r="M55" s="50"/>
      <c r="N55" s="50" t="s">
        <v>62</v>
      </c>
      <c r="O55" s="51">
        <v>8404.25</v>
      </c>
      <c r="P55" s="50"/>
      <c r="Q55" s="57">
        <v>75638.25</v>
      </c>
      <c r="R55" s="51">
        <v>0</v>
      </c>
      <c r="S55" s="51">
        <v>0</v>
      </c>
      <c r="T55" s="51"/>
      <c r="U55" s="58">
        <f t="shared" si="8"/>
        <v>0</v>
      </c>
      <c r="V55" s="50"/>
      <c r="W55" s="59"/>
      <c r="X55" s="59"/>
      <c r="Y55" s="59"/>
      <c r="Z55" s="50"/>
      <c r="AA55" s="50"/>
      <c r="AB55" s="50"/>
      <c r="AC55" s="67">
        <f t="shared" si="1"/>
        <v>0</v>
      </c>
    </row>
    <row r="56" s="10" customFormat="1" spans="1:30">
      <c r="A56" s="28">
        <v>53</v>
      </c>
      <c r="B56" s="29" t="s">
        <v>235</v>
      </c>
      <c r="C56" s="29" t="s">
        <v>258</v>
      </c>
      <c r="D56" s="30" t="s">
        <v>262</v>
      </c>
      <c r="E56" s="31" t="s">
        <v>237</v>
      </c>
      <c r="F56" s="32" t="s">
        <v>259</v>
      </c>
      <c r="G56" s="33" t="s">
        <v>260</v>
      </c>
      <c r="H56" s="31" t="s">
        <v>261</v>
      </c>
      <c r="I56" s="47">
        <v>43357</v>
      </c>
      <c r="J56" s="48" t="s">
        <v>83</v>
      </c>
      <c r="K56" s="49">
        <v>43344</v>
      </c>
      <c r="L56" s="49">
        <v>43708</v>
      </c>
      <c r="M56" s="50"/>
      <c r="N56" s="50" t="s">
        <v>62</v>
      </c>
      <c r="O56" s="51">
        <v>5833.33</v>
      </c>
      <c r="P56" s="50"/>
      <c r="Q56" s="57">
        <v>5833.33</v>
      </c>
      <c r="R56" s="51">
        <v>0</v>
      </c>
      <c r="S56" s="51">
        <v>0</v>
      </c>
      <c r="T56" s="51">
        <v>70000</v>
      </c>
      <c r="U56" s="58">
        <v>70000</v>
      </c>
      <c r="V56" s="50"/>
      <c r="W56" s="59">
        <v>70000</v>
      </c>
      <c r="X56" s="59"/>
      <c r="Y56" s="59"/>
      <c r="Z56" s="50"/>
      <c r="AA56" s="50"/>
      <c r="AB56" s="50"/>
      <c r="AC56" s="67">
        <f t="shared" si="1"/>
        <v>66825.7756563246</v>
      </c>
      <c r="AD56" s="67">
        <f t="shared" ref="AD56:AD57" si="10">AC56/1</f>
        <v>66825.7756563246</v>
      </c>
    </row>
    <row r="57" s="10" customFormat="1" spans="1:30">
      <c r="A57" s="28">
        <v>54</v>
      </c>
      <c r="B57" s="29" t="s">
        <v>235</v>
      </c>
      <c r="C57" s="29" t="s">
        <v>263</v>
      </c>
      <c r="D57" s="30"/>
      <c r="E57" s="31" t="s">
        <v>237</v>
      </c>
      <c r="F57" s="32" t="s">
        <v>238</v>
      </c>
      <c r="G57" s="33" t="s">
        <v>264</v>
      </c>
      <c r="H57" s="31" t="s">
        <v>240</v>
      </c>
      <c r="I57" s="47">
        <v>42560</v>
      </c>
      <c r="J57" s="48" t="s">
        <v>241</v>
      </c>
      <c r="K57" s="49">
        <v>42560</v>
      </c>
      <c r="L57" s="49">
        <v>43838</v>
      </c>
      <c r="M57" s="50"/>
      <c r="N57" s="50" t="s">
        <v>62</v>
      </c>
      <c r="O57" s="51">
        <v>26983.68</v>
      </c>
      <c r="P57" s="50"/>
      <c r="Q57" s="57">
        <v>242853.12</v>
      </c>
      <c r="R57" s="51">
        <v>50883.53</v>
      </c>
      <c r="S57" s="51">
        <v>103308.98</v>
      </c>
      <c r="T57" s="51">
        <v>51397.5</v>
      </c>
      <c r="U57" s="58">
        <f t="shared" si="8"/>
        <v>205590.01</v>
      </c>
      <c r="V57" s="50"/>
      <c r="W57" s="59">
        <v>333518.3</v>
      </c>
      <c r="X57" s="59">
        <v>0</v>
      </c>
      <c r="Y57" s="59"/>
      <c r="Z57" s="50"/>
      <c r="AA57" s="50"/>
      <c r="AB57" s="50"/>
      <c r="AC57" s="67">
        <f t="shared" si="1"/>
        <v>318394.558472554</v>
      </c>
      <c r="AD57" s="67">
        <f t="shared" si="10"/>
        <v>318394.558472554</v>
      </c>
    </row>
    <row r="58" s="10" customFormat="1" spans="1:30">
      <c r="A58" s="28">
        <v>55</v>
      </c>
      <c r="B58" s="29" t="s">
        <v>235</v>
      </c>
      <c r="C58" s="29" t="s">
        <v>265</v>
      </c>
      <c r="D58" s="30"/>
      <c r="E58" s="31" t="s">
        <v>237</v>
      </c>
      <c r="F58" s="32" t="s">
        <v>266</v>
      </c>
      <c r="G58" s="33" t="s">
        <v>267</v>
      </c>
      <c r="H58" s="31" t="s">
        <v>268</v>
      </c>
      <c r="I58" s="47"/>
      <c r="J58" s="48" t="s">
        <v>54</v>
      </c>
      <c r="K58" s="49">
        <v>42339</v>
      </c>
      <c r="L58" s="49">
        <v>44172</v>
      </c>
      <c r="M58" s="50"/>
      <c r="N58" s="50" t="s">
        <v>92</v>
      </c>
      <c r="O58" s="51">
        <v>2254.65</v>
      </c>
      <c r="P58" s="50"/>
      <c r="Q58" s="57">
        <v>20291.85</v>
      </c>
      <c r="R58" s="51">
        <v>0</v>
      </c>
      <c r="S58" s="51">
        <v>0</v>
      </c>
      <c r="T58" s="51">
        <v>27055.8</v>
      </c>
      <c r="U58" s="58">
        <f t="shared" si="8"/>
        <v>27055.8</v>
      </c>
      <c r="V58" s="50"/>
      <c r="W58" s="59">
        <v>27055.8</v>
      </c>
      <c r="X58" s="59">
        <v>27055.8</v>
      </c>
      <c r="Y58" s="59"/>
      <c r="Z58" s="50"/>
      <c r="AA58" s="50"/>
      <c r="AB58" s="50"/>
      <c r="AC58" s="67">
        <f t="shared" si="1"/>
        <v>50486.6119468447</v>
      </c>
      <c r="AD58" s="67">
        <f t="shared" ref="AD58:AD59" si="11">AC58/2</f>
        <v>25243.3059734223</v>
      </c>
    </row>
    <row r="59" s="10" customFormat="1" spans="1:30">
      <c r="A59" s="28">
        <v>56</v>
      </c>
      <c r="B59" s="29" t="s">
        <v>235</v>
      </c>
      <c r="C59" s="29" t="s">
        <v>265</v>
      </c>
      <c r="D59" s="30"/>
      <c r="E59" s="31" t="s">
        <v>237</v>
      </c>
      <c r="F59" s="32" t="s">
        <v>266</v>
      </c>
      <c r="G59" s="33" t="s">
        <v>269</v>
      </c>
      <c r="H59" s="31" t="s">
        <v>270</v>
      </c>
      <c r="I59" s="47"/>
      <c r="J59" s="48" t="s">
        <v>54</v>
      </c>
      <c r="K59" s="49">
        <v>42339</v>
      </c>
      <c r="L59" s="49">
        <v>44172</v>
      </c>
      <c r="M59" s="50"/>
      <c r="N59" s="50" t="s">
        <v>92</v>
      </c>
      <c r="O59" s="51">
        <v>1828.68</v>
      </c>
      <c r="P59" s="50"/>
      <c r="Q59" s="57">
        <v>16458.15</v>
      </c>
      <c r="R59" s="51">
        <v>0</v>
      </c>
      <c r="S59" s="51">
        <v>0</v>
      </c>
      <c r="T59" s="51">
        <v>21944.16</v>
      </c>
      <c r="U59" s="58">
        <f t="shared" si="8"/>
        <v>21944.16</v>
      </c>
      <c r="V59" s="50"/>
      <c r="W59" s="59">
        <v>21944.2</v>
      </c>
      <c r="X59" s="59">
        <v>21944.2</v>
      </c>
      <c r="Y59" s="59"/>
      <c r="Z59" s="50"/>
      <c r="AA59" s="50"/>
      <c r="AB59" s="50"/>
      <c r="AC59" s="67">
        <f t="shared" si="1"/>
        <v>40948.2739332768</v>
      </c>
      <c r="AD59" s="67">
        <f t="shared" si="11"/>
        <v>20474.1369666384</v>
      </c>
    </row>
    <row r="60" s="10" customFormat="1" spans="1:30">
      <c r="A60" s="28">
        <v>57</v>
      </c>
      <c r="B60" s="29" t="s">
        <v>235</v>
      </c>
      <c r="C60" s="29" t="s">
        <v>271</v>
      </c>
      <c r="D60" s="30" t="s">
        <v>272</v>
      </c>
      <c r="E60" s="31" t="s">
        <v>237</v>
      </c>
      <c r="F60" s="32" t="s">
        <v>273</v>
      </c>
      <c r="G60" s="33" t="s">
        <v>274</v>
      </c>
      <c r="H60" s="31" t="s">
        <v>275</v>
      </c>
      <c r="I60" s="47">
        <v>42736</v>
      </c>
      <c r="J60" s="48" t="s">
        <v>69</v>
      </c>
      <c r="K60" s="49">
        <v>42736</v>
      </c>
      <c r="L60" s="49">
        <v>43830</v>
      </c>
      <c r="M60" s="50"/>
      <c r="N60" s="50" t="s">
        <v>62</v>
      </c>
      <c r="O60" s="51">
        <v>13219.83</v>
      </c>
      <c r="P60" s="50"/>
      <c r="Q60" s="57">
        <v>118978.47</v>
      </c>
      <c r="R60" s="51">
        <v>52350.54</v>
      </c>
      <c r="S60" s="51">
        <v>106287.46</v>
      </c>
      <c r="T60" s="51">
        <v>52879.33</v>
      </c>
      <c r="U60" s="58">
        <f t="shared" si="8"/>
        <v>211517.33</v>
      </c>
      <c r="V60" s="50"/>
      <c r="W60" s="59">
        <v>158638</v>
      </c>
      <c r="X60" s="59"/>
      <c r="Y60" s="59"/>
      <c r="Z60" s="50"/>
      <c r="AA60" s="50"/>
      <c r="AB60" s="50"/>
      <c r="AC60" s="67">
        <f t="shared" si="1"/>
        <v>151444.391408115</v>
      </c>
      <c r="AD60" s="67">
        <f>AC60/1</f>
        <v>151444.391408115</v>
      </c>
    </row>
    <row r="61" s="10" customFormat="1" spans="1:30">
      <c r="A61" s="28">
        <v>58</v>
      </c>
      <c r="B61" s="29" t="s">
        <v>235</v>
      </c>
      <c r="C61" s="29" t="s">
        <v>276</v>
      </c>
      <c r="D61" s="30" t="s">
        <v>277</v>
      </c>
      <c r="E61" s="31" t="s">
        <v>237</v>
      </c>
      <c r="F61" s="32" t="s">
        <v>278</v>
      </c>
      <c r="G61" s="33" t="s">
        <v>279</v>
      </c>
      <c r="H61" s="31" t="s">
        <v>280</v>
      </c>
      <c r="I61" s="47">
        <v>42703</v>
      </c>
      <c r="J61" s="48" t="s">
        <v>54</v>
      </c>
      <c r="K61" s="49">
        <v>42736</v>
      </c>
      <c r="L61" s="49">
        <v>44561</v>
      </c>
      <c r="M61" s="50"/>
      <c r="N61" s="50" t="s">
        <v>62</v>
      </c>
      <c r="O61" s="51">
        <v>7377.83</v>
      </c>
      <c r="P61" s="50"/>
      <c r="Q61" s="57">
        <v>66400.47</v>
      </c>
      <c r="R61" s="51">
        <v>27824.97</v>
      </c>
      <c r="S61" s="51">
        <v>56493.13</v>
      </c>
      <c r="T61" s="51">
        <v>28106.03</v>
      </c>
      <c r="U61" s="58">
        <f t="shared" si="8"/>
        <v>112424.13</v>
      </c>
      <c r="V61" s="50"/>
      <c r="W61" s="59">
        <v>92961</v>
      </c>
      <c r="X61" s="59">
        <v>97609</v>
      </c>
      <c r="Y61" s="59">
        <v>102488</v>
      </c>
      <c r="Z61" s="50"/>
      <c r="AA61" s="50"/>
      <c r="AB61" s="50"/>
      <c r="AC61" s="67">
        <f t="shared" si="1"/>
        <v>266871.316788911</v>
      </c>
      <c r="AD61" s="67">
        <f>AC61/3</f>
        <v>88957.1055963037</v>
      </c>
    </row>
    <row r="62" s="10" customFormat="1" spans="1:30">
      <c r="A62" s="28">
        <v>59</v>
      </c>
      <c r="B62" s="29" t="s">
        <v>235</v>
      </c>
      <c r="C62" s="29" t="s">
        <v>281</v>
      </c>
      <c r="D62" s="30" t="s">
        <v>282</v>
      </c>
      <c r="E62" s="31" t="s">
        <v>237</v>
      </c>
      <c r="F62" s="32" t="s">
        <v>238</v>
      </c>
      <c r="G62" s="33" t="s">
        <v>283</v>
      </c>
      <c r="H62" s="31" t="s">
        <v>284</v>
      </c>
      <c r="I62" s="47">
        <v>43115</v>
      </c>
      <c r="J62" s="48" t="s">
        <v>213</v>
      </c>
      <c r="K62" s="49">
        <v>43125</v>
      </c>
      <c r="L62" s="49">
        <v>44220</v>
      </c>
      <c r="M62" s="50"/>
      <c r="N62" s="50" t="s">
        <v>92</v>
      </c>
      <c r="O62" s="51">
        <v>12750</v>
      </c>
      <c r="P62" s="50"/>
      <c r="Q62" s="57">
        <v>114750</v>
      </c>
      <c r="R62" s="51">
        <v>48085.72</v>
      </c>
      <c r="S62" s="51">
        <v>97628.57</v>
      </c>
      <c r="T62" s="51">
        <v>0</v>
      </c>
      <c r="U62" s="58">
        <f t="shared" si="8"/>
        <v>145714.29</v>
      </c>
      <c r="V62" s="50"/>
      <c r="W62" s="59">
        <v>153000</v>
      </c>
      <c r="X62" s="59">
        <v>162180</v>
      </c>
      <c r="Y62" s="59"/>
      <c r="Z62" s="50"/>
      <c r="AA62" s="50"/>
      <c r="AB62" s="50"/>
      <c r="AC62" s="67">
        <f t="shared" si="1"/>
        <v>293867.088932052</v>
      </c>
      <c r="AD62" s="67">
        <f>AC62/2</f>
        <v>146933.544466026</v>
      </c>
    </row>
    <row r="63" s="10" customFormat="1" spans="1:29">
      <c r="A63" s="28">
        <v>60</v>
      </c>
      <c r="B63" s="29" t="s">
        <v>285</v>
      </c>
      <c r="C63" s="29" t="s">
        <v>286</v>
      </c>
      <c r="D63" s="30" t="s">
        <v>287</v>
      </c>
      <c r="E63" s="31" t="s">
        <v>288</v>
      </c>
      <c r="F63" s="32" t="s">
        <v>289</v>
      </c>
      <c r="G63" s="33" t="s">
        <v>290</v>
      </c>
      <c r="H63" s="31" t="s">
        <v>291</v>
      </c>
      <c r="I63" s="47">
        <v>41610</v>
      </c>
      <c r="J63" s="48" t="s">
        <v>54</v>
      </c>
      <c r="K63" s="49">
        <v>41640</v>
      </c>
      <c r="L63" s="49">
        <v>43465</v>
      </c>
      <c r="M63" s="50"/>
      <c r="N63" s="50" t="s">
        <v>292</v>
      </c>
      <c r="O63" s="51">
        <v>193579</v>
      </c>
      <c r="P63" s="50"/>
      <c r="Q63" s="57">
        <v>1920789</v>
      </c>
      <c r="R63" s="51"/>
      <c r="S63" s="51"/>
      <c r="T63" s="51">
        <v>640263</v>
      </c>
      <c r="U63" s="58">
        <v>2561052</v>
      </c>
      <c r="V63" s="50"/>
      <c r="W63" s="59"/>
      <c r="X63" s="59"/>
      <c r="Y63" s="59"/>
      <c r="Z63" s="50"/>
      <c r="AA63" s="50"/>
      <c r="AB63" s="50"/>
      <c r="AC63" s="67">
        <f t="shared" si="1"/>
        <v>0</v>
      </c>
    </row>
    <row r="64" s="10" customFormat="1" spans="1:29">
      <c r="A64" s="28">
        <v>61</v>
      </c>
      <c r="B64" s="29" t="s">
        <v>285</v>
      </c>
      <c r="C64" s="29" t="s">
        <v>293</v>
      </c>
      <c r="D64" s="30" t="s">
        <v>294</v>
      </c>
      <c r="E64" s="31" t="s">
        <v>288</v>
      </c>
      <c r="F64" s="32" t="s">
        <v>295</v>
      </c>
      <c r="G64" s="33" t="s">
        <v>296</v>
      </c>
      <c r="H64" s="31" t="s">
        <v>297</v>
      </c>
      <c r="I64" s="47">
        <v>43096</v>
      </c>
      <c r="J64" s="48" t="s">
        <v>83</v>
      </c>
      <c r="K64" s="49">
        <v>43101</v>
      </c>
      <c r="L64" s="49">
        <v>43465</v>
      </c>
      <c r="M64" s="50"/>
      <c r="N64" s="50" t="s">
        <v>62</v>
      </c>
      <c r="O64" s="51">
        <v>11083</v>
      </c>
      <c r="P64" s="50"/>
      <c r="Q64" s="57">
        <v>99747</v>
      </c>
      <c r="R64" s="51">
        <v>171190.48</v>
      </c>
      <c r="S64" s="51">
        <v>0</v>
      </c>
      <c r="T64" s="51">
        <v>33250</v>
      </c>
      <c r="U64" s="58">
        <f>R64+S64+T64</f>
        <v>204440.48</v>
      </c>
      <c r="V64" s="50"/>
      <c r="W64" s="59"/>
      <c r="X64" s="59"/>
      <c r="Y64" s="59"/>
      <c r="Z64" s="50"/>
      <c r="AA64" s="50"/>
      <c r="AB64" s="50"/>
      <c r="AC64" s="67">
        <f t="shared" si="1"/>
        <v>0</v>
      </c>
    </row>
    <row r="65" s="10" customFormat="1" spans="1:30">
      <c r="A65" s="28">
        <v>62</v>
      </c>
      <c r="B65" s="29" t="s">
        <v>285</v>
      </c>
      <c r="C65" s="29" t="s">
        <v>293</v>
      </c>
      <c r="D65" s="30" t="s">
        <v>298</v>
      </c>
      <c r="E65" s="31" t="s">
        <v>288</v>
      </c>
      <c r="F65" s="32" t="s">
        <v>295</v>
      </c>
      <c r="G65" s="33" t="s">
        <v>299</v>
      </c>
      <c r="H65" s="31" t="s">
        <v>300</v>
      </c>
      <c r="I65" s="47">
        <v>43252</v>
      </c>
      <c r="J65" s="48" t="s">
        <v>54</v>
      </c>
      <c r="K65" s="49">
        <v>43313</v>
      </c>
      <c r="L65" s="49">
        <v>45138</v>
      </c>
      <c r="M65" s="50"/>
      <c r="N65" s="50" t="s">
        <v>292</v>
      </c>
      <c r="O65" s="51">
        <v>20000</v>
      </c>
      <c r="P65" s="50"/>
      <c r="Q65" s="57">
        <v>20000</v>
      </c>
      <c r="R65" s="51"/>
      <c r="S65" s="51">
        <v>0</v>
      </c>
      <c r="T65" s="51">
        <v>60000</v>
      </c>
      <c r="U65" s="58">
        <f t="shared" ref="U65:U83" si="12">R65+S65+T65</f>
        <v>60000</v>
      </c>
      <c r="V65" s="50"/>
      <c r="W65" s="59">
        <v>240000</v>
      </c>
      <c r="X65" s="59">
        <v>240000</v>
      </c>
      <c r="Y65" s="59">
        <v>240000</v>
      </c>
      <c r="Z65" s="50">
        <v>240000</v>
      </c>
      <c r="AA65" s="50">
        <v>245000</v>
      </c>
      <c r="AB65" s="50">
        <v>252000</v>
      </c>
      <c r="AC65" s="67">
        <f t="shared" si="1"/>
        <v>1050259.22044864</v>
      </c>
      <c r="AD65" s="67">
        <f>AC65/5</f>
        <v>210051.844089727</v>
      </c>
    </row>
    <row r="66" s="10" customFormat="1" spans="1:30">
      <c r="A66" s="28">
        <v>63</v>
      </c>
      <c r="B66" s="29" t="s">
        <v>285</v>
      </c>
      <c r="C66" s="29" t="s">
        <v>301</v>
      </c>
      <c r="D66" s="30" t="s">
        <v>302</v>
      </c>
      <c r="E66" s="31" t="s">
        <v>288</v>
      </c>
      <c r="F66" s="32" t="s">
        <v>303</v>
      </c>
      <c r="G66" s="33" t="s">
        <v>304</v>
      </c>
      <c r="H66" s="31" t="s">
        <v>305</v>
      </c>
      <c r="I66" s="47">
        <v>42851</v>
      </c>
      <c r="J66" s="48" t="s">
        <v>54</v>
      </c>
      <c r="K66" s="49">
        <v>42913</v>
      </c>
      <c r="L66" s="49">
        <v>44738</v>
      </c>
      <c r="M66" s="50"/>
      <c r="N66" s="50" t="s">
        <v>62</v>
      </c>
      <c r="O66" s="51">
        <v>12030</v>
      </c>
      <c r="P66" s="50"/>
      <c r="Q66" s="57">
        <v>111879</v>
      </c>
      <c r="R66" s="51">
        <v>55939.5</v>
      </c>
      <c r="S66" s="51">
        <v>55939.5</v>
      </c>
      <c r="T66" s="51">
        <v>39699</v>
      </c>
      <c r="U66" s="58">
        <f t="shared" si="12"/>
        <v>151578</v>
      </c>
      <c r="V66" s="50" t="s">
        <v>306</v>
      </c>
      <c r="W66" s="59">
        <v>166735.8</v>
      </c>
      <c r="X66" s="59">
        <v>183449.8</v>
      </c>
      <c r="Y66" s="59">
        <v>201750.3</v>
      </c>
      <c r="Z66" s="50">
        <v>105678.72</v>
      </c>
      <c r="AA66" s="50"/>
      <c r="AB66" s="50"/>
      <c r="AC66" s="67">
        <f t="shared" si="1"/>
        <v>589669.974335611</v>
      </c>
      <c r="AD66" s="68">
        <f>AC66/4</f>
        <v>147417.493583903</v>
      </c>
    </row>
    <row r="67" s="10" customFormat="1" spans="1:30">
      <c r="A67" s="28">
        <v>64</v>
      </c>
      <c r="B67" s="29" t="s">
        <v>285</v>
      </c>
      <c r="C67" s="29" t="s">
        <v>307</v>
      </c>
      <c r="D67" s="30" t="s">
        <v>308</v>
      </c>
      <c r="E67" s="31" t="s">
        <v>288</v>
      </c>
      <c r="F67" s="32" t="s">
        <v>309</v>
      </c>
      <c r="G67" s="33" t="s">
        <v>310</v>
      </c>
      <c r="H67" s="31" t="s">
        <v>311</v>
      </c>
      <c r="I67" s="47">
        <v>42873</v>
      </c>
      <c r="J67" s="48" t="s">
        <v>120</v>
      </c>
      <c r="K67" s="49">
        <v>42880</v>
      </c>
      <c r="L67" s="49">
        <v>43609</v>
      </c>
      <c r="M67" s="50"/>
      <c r="N67" s="50" t="s">
        <v>62</v>
      </c>
      <c r="O67" s="51">
        <v>2333.33</v>
      </c>
      <c r="P67" s="50"/>
      <c r="Q67" s="57">
        <v>21000</v>
      </c>
      <c r="R67" s="51">
        <v>10500</v>
      </c>
      <c r="S67" s="51">
        <v>10500</v>
      </c>
      <c r="T67" s="51">
        <v>7000</v>
      </c>
      <c r="U67" s="58">
        <f t="shared" si="12"/>
        <v>28000</v>
      </c>
      <c r="V67" s="50" t="s">
        <v>312</v>
      </c>
      <c r="W67" s="59">
        <v>14000</v>
      </c>
      <c r="X67" s="59"/>
      <c r="Y67" s="59"/>
      <c r="Z67" s="50"/>
      <c r="AA67" s="50"/>
      <c r="AB67" s="50"/>
      <c r="AC67" s="67">
        <f t="shared" si="1"/>
        <v>13365.1551312649</v>
      </c>
      <c r="AD67" s="67">
        <f>AC67/1</f>
        <v>13365.1551312649</v>
      </c>
    </row>
    <row r="68" s="10" customFormat="1" spans="1:30">
      <c r="A68" s="28">
        <v>65</v>
      </c>
      <c r="B68" s="29" t="s">
        <v>285</v>
      </c>
      <c r="C68" s="29" t="s">
        <v>313</v>
      </c>
      <c r="D68" s="30" t="s">
        <v>314</v>
      </c>
      <c r="E68" s="31" t="s">
        <v>288</v>
      </c>
      <c r="F68" s="32" t="s">
        <v>315</v>
      </c>
      <c r="G68" s="33" t="s">
        <v>316</v>
      </c>
      <c r="H68" s="31" t="s">
        <v>317</v>
      </c>
      <c r="I68" s="47">
        <v>41852</v>
      </c>
      <c r="J68" s="48" t="s">
        <v>69</v>
      </c>
      <c r="K68" s="49">
        <v>41852</v>
      </c>
      <c r="L68" s="49">
        <v>42946</v>
      </c>
      <c r="M68" s="50"/>
      <c r="N68" s="50" t="s">
        <v>62</v>
      </c>
      <c r="O68" s="51">
        <v>7125</v>
      </c>
      <c r="P68" s="50"/>
      <c r="Q68" s="57">
        <v>64125</v>
      </c>
      <c r="R68" s="51">
        <f>O68/1.06*0.5*9</f>
        <v>30247.641509434</v>
      </c>
      <c r="S68" s="51">
        <f>O68/1.06*0.5*9</f>
        <v>30247.641509434</v>
      </c>
      <c r="T68" s="51">
        <v>28500</v>
      </c>
      <c r="U68" s="58">
        <f t="shared" si="12"/>
        <v>88995.2830188679</v>
      </c>
      <c r="V68" s="50"/>
      <c r="W68" s="59">
        <f>O68*12/1.06</f>
        <v>80660.3773584906</v>
      </c>
      <c r="X68" s="59">
        <f>O68/1.06*2</f>
        <v>13443.3962264151</v>
      </c>
      <c r="Y68" s="59"/>
      <c r="Z68" s="50"/>
      <c r="AA68" s="50"/>
      <c r="AB68" s="50"/>
      <c r="AC68" s="67">
        <f t="shared" si="1"/>
        <v>89254.5761388317</v>
      </c>
      <c r="AD68" s="67">
        <f t="shared" ref="AD68:AD69" si="13">AC68/2</f>
        <v>44627.2880694158</v>
      </c>
    </row>
    <row r="69" s="10" customFormat="1" spans="1:30">
      <c r="A69" s="28">
        <v>66</v>
      </c>
      <c r="B69" s="29" t="s">
        <v>285</v>
      </c>
      <c r="C69" s="29" t="s">
        <v>318</v>
      </c>
      <c r="D69" s="30"/>
      <c r="E69" s="31" t="s">
        <v>288</v>
      </c>
      <c r="F69" s="32" t="s">
        <v>319</v>
      </c>
      <c r="G69" s="33" t="s">
        <v>320</v>
      </c>
      <c r="H69" s="31"/>
      <c r="I69" s="47">
        <v>42948</v>
      </c>
      <c r="J69" s="48" t="s">
        <v>69</v>
      </c>
      <c r="K69" s="49">
        <v>42948</v>
      </c>
      <c r="L69" s="49">
        <v>44042</v>
      </c>
      <c r="M69" s="50"/>
      <c r="N69" s="50" t="s">
        <v>62</v>
      </c>
      <c r="O69" s="51">
        <v>3400</v>
      </c>
      <c r="P69" s="50"/>
      <c r="Q69" s="57">
        <v>27200</v>
      </c>
      <c r="R69" s="51">
        <f>O69/1.06*0.5*9</f>
        <v>14433.9622641509</v>
      </c>
      <c r="S69" s="51">
        <f>O69/1.06*0.5*9</f>
        <v>14433.9622641509</v>
      </c>
      <c r="T69" s="51">
        <v>28501</v>
      </c>
      <c r="U69" s="58">
        <f t="shared" si="12"/>
        <v>57368.9245283019</v>
      </c>
      <c r="V69" s="50"/>
      <c r="W69" s="59">
        <f>O69*12/1.06</f>
        <v>38490.5660377358</v>
      </c>
      <c r="X69" s="59">
        <f>O69/1.06*2</f>
        <v>6415.09433962264</v>
      </c>
      <c r="Y69" s="59"/>
      <c r="Z69" s="50"/>
      <c r="AA69" s="50"/>
      <c r="AB69" s="50"/>
      <c r="AC69" s="67">
        <f t="shared" ref="AC69:AC132" si="14">NPV(4.75%,W69:AA69)</f>
        <v>42591.6573855478</v>
      </c>
      <c r="AD69" s="67">
        <f t="shared" si="13"/>
        <v>21295.8286927739</v>
      </c>
    </row>
    <row r="70" s="10" customFormat="1" spans="1:30">
      <c r="A70" s="28">
        <v>67</v>
      </c>
      <c r="B70" s="29" t="s">
        <v>285</v>
      </c>
      <c r="C70" s="29" t="s">
        <v>321</v>
      </c>
      <c r="D70" s="30"/>
      <c r="E70" s="31" t="s">
        <v>288</v>
      </c>
      <c r="F70" s="32" t="s">
        <v>322</v>
      </c>
      <c r="G70" s="33" t="s">
        <v>323</v>
      </c>
      <c r="H70" s="31" t="s">
        <v>324</v>
      </c>
      <c r="I70" s="47">
        <v>42231</v>
      </c>
      <c r="J70" s="48" t="s">
        <v>54</v>
      </c>
      <c r="K70" s="49">
        <v>42278</v>
      </c>
      <c r="L70" s="49">
        <v>44105</v>
      </c>
      <c r="M70" s="50"/>
      <c r="N70" s="50" t="s">
        <v>62</v>
      </c>
      <c r="O70" s="51">
        <v>9225.88</v>
      </c>
      <c r="P70" s="50"/>
      <c r="Q70" s="57">
        <v>83032.92</v>
      </c>
      <c r="R70" s="51">
        <v>41516.46</v>
      </c>
      <c r="S70" s="51">
        <v>41516.46</v>
      </c>
      <c r="T70" s="51">
        <v>73807.04</v>
      </c>
      <c r="U70" s="58">
        <f t="shared" si="12"/>
        <v>156839.96</v>
      </c>
      <c r="V70" s="50"/>
      <c r="W70" s="59">
        <v>115524</v>
      </c>
      <c r="X70" s="59"/>
      <c r="Y70" s="59"/>
      <c r="Z70" s="50"/>
      <c r="AA70" s="50"/>
      <c r="AB70" s="50"/>
      <c r="AC70" s="67">
        <f t="shared" si="14"/>
        <v>110285.441527446</v>
      </c>
      <c r="AD70" s="67">
        <f>AC70/1</f>
        <v>110285.441527446</v>
      </c>
    </row>
    <row r="71" s="10" customFormat="1" spans="1:30">
      <c r="A71" s="28">
        <v>68</v>
      </c>
      <c r="B71" s="29" t="s">
        <v>285</v>
      </c>
      <c r="C71" s="29" t="s">
        <v>325</v>
      </c>
      <c r="D71" s="30"/>
      <c r="E71" s="31" t="s">
        <v>288</v>
      </c>
      <c r="F71" s="32" t="s">
        <v>326</v>
      </c>
      <c r="G71" s="33" t="s">
        <v>327</v>
      </c>
      <c r="H71" s="31" t="s">
        <v>328</v>
      </c>
      <c r="I71" s="47">
        <v>42837</v>
      </c>
      <c r="J71" s="48" t="s">
        <v>54</v>
      </c>
      <c r="K71" s="49">
        <v>42837</v>
      </c>
      <c r="L71" s="49">
        <v>44662</v>
      </c>
      <c r="M71" s="50"/>
      <c r="N71" s="50" t="s">
        <v>62</v>
      </c>
      <c r="O71" s="51">
        <v>1860</v>
      </c>
      <c r="P71" s="50"/>
      <c r="Q71" s="57">
        <v>16740</v>
      </c>
      <c r="R71" s="51">
        <v>8370</v>
      </c>
      <c r="S71" s="51">
        <v>8370</v>
      </c>
      <c r="T71" s="51">
        <v>5580</v>
      </c>
      <c r="U71" s="58">
        <f t="shared" si="12"/>
        <v>22320</v>
      </c>
      <c r="V71" s="50"/>
      <c r="W71" s="59">
        <v>22320</v>
      </c>
      <c r="X71" s="59">
        <v>22320</v>
      </c>
      <c r="Y71" s="59">
        <v>22320</v>
      </c>
      <c r="Z71" s="50">
        <v>22320</v>
      </c>
      <c r="AA71" s="50"/>
      <c r="AB71" s="50"/>
      <c r="AC71" s="67">
        <f t="shared" si="14"/>
        <v>79607.4057700149</v>
      </c>
      <c r="AD71" s="68">
        <f t="shared" ref="AD71:AD72" si="15">AC71/4</f>
        <v>19901.8514425037</v>
      </c>
    </row>
    <row r="72" s="10" customFormat="1" spans="1:30">
      <c r="A72" s="28">
        <v>69</v>
      </c>
      <c r="B72" s="29" t="s">
        <v>285</v>
      </c>
      <c r="C72" s="29" t="s">
        <v>325</v>
      </c>
      <c r="D72" s="30"/>
      <c r="E72" s="31" t="s">
        <v>288</v>
      </c>
      <c r="F72" s="32" t="s">
        <v>326</v>
      </c>
      <c r="G72" s="33" t="s">
        <v>329</v>
      </c>
      <c r="H72" s="31" t="s">
        <v>330</v>
      </c>
      <c r="I72" s="47">
        <v>42837</v>
      </c>
      <c r="J72" s="48" t="s">
        <v>54</v>
      </c>
      <c r="K72" s="49">
        <v>42837</v>
      </c>
      <c r="L72" s="49">
        <v>44662</v>
      </c>
      <c r="M72" s="50"/>
      <c r="N72" s="50" t="s">
        <v>62</v>
      </c>
      <c r="O72" s="51">
        <v>6784</v>
      </c>
      <c r="P72" s="50"/>
      <c r="Q72" s="57">
        <v>61056</v>
      </c>
      <c r="R72" s="51">
        <v>30528</v>
      </c>
      <c r="S72" s="51">
        <v>30528</v>
      </c>
      <c r="T72" s="51">
        <v>20352</v>
      </c>
      <c r="U72" s="58">
        <f t="shared" si="12"/>
        <v>81408</v>
      </c>
      <c r="V72" s="50"/>
      <c r="W72" s="59">
        <v>81408</v>
      </c>
      <c r="X72" s="59">
        <v>81408</v>
      </c>
      <c r="Y72" s="59">
        <v>81408</v>
      </c>
      <c r="Z72" s="50">
        <v>81408</v>
      </c>
      <c r="AA72" s="50"/>
      <c r="AB72" s="50"/>
      <c r="AC72" s="67">
        <f t="shared" si="14"/>
        <v>290353.032657947</v>
      </c>
      <c r="AD72" s="68">
        <f t="shared" si="15"/>
        <v>72588.2581644867</v>
      </c>
    </row>
    <row r="73" s="10" customFormat="1" spans="1:29">
      <c r="A73" s="28">
        <v>70</v>
      </c>
      <c r="B73" s="29" t="s">
        <v>285</v>
      </c>
      <c r="C73" s="29" t="s">
        <v>331</v>
      </c>
      <c r="D73" s="30"/>
      <c r="E73" s="31" t="s">
        <v>288</v>
      </c>
      <c r="F73" s="32" t="s">
        <v>332</v>
      </c>
      <c r="G73" s="33" t="s">
        <v>333</v>
      </c>
      <c r="H73" s="31" t="s">
        <v>334</v>
      </c>
      <c r="I73" s="47">
        <v>42691</v>
      </c>
      <c r="J73" s="48" t="s">
        <v>120</v>
      </c>
      <c r="K73" s="49">
        <v>42691</v>
      </c>
      <c r="L73" s="49">
        <v>43420</v>
      </c>
      <c r="M73" s="50"/>
      <c r="N73" s="50" t="s">
        <v>62</v>
      </c>
      <c r="O73" s="51">
        <v>10000</v>
      </c>
      <c r="P73" s="50"/>
      <c r="Q73" s="57">
        <v>90000</v>
      </c>
      <c r="R73" s="51">
        <v>45000</v>
      </c>
      <c r="S73" s="51">
        <v>45000</v>
      </c>
      <c r="T73" s="51">
        <v>20000</v>
      </c>
      <c r="U73" s="58">
        <f t="shared" si="12"/>
        <v>110000</v>
      </c>
      <c r="V73" s="50"/>
      <c r="W73" s="59"/>
      <c r="X73" s="59"/>
      <c r="Y73" s="59"/>
      <c r="Z73" s="50"/>
      <c r="AA73" s="50"/>
      <c r="AB73" s="50"/>
      <c r="AC73" s="67">
        <f t="shared" si="14"/>
        <v>0</v>
      </c>
    </row>
    <row r="74" s="10" customFormat="1" spans="1:30">
      <c r="A74" s="28">
        <v>71</v>
      </c>
      <c r="B74" s="29" t="s">
        <v>285</v>
      </c>
      <c r="C74" s="29" t="s">
        <v>335</v>
      </c>
      <c r="D74" s="30"/>
      <c r="E74" s="31" t="s">
        <v>288</v>
      </c>
      <c r="F74" s="32" t="s">
        <v>336</v>
      </c>
      <c r="G74" s="33" t="s">
        <v>337</v>
      </c>
      <c r="H74" s="31" t="s">
        <v>338</v>
      </c>
      <c r="I74" s="47">
        <v>41760</v>
      </c>
      <c r="J74" s="48" t="s">
        <v>54</v>
      </c>
      <c r="K74" s="49">
        <v>41760</v>
      </c>
      <c r="L74" s="49">
        <v>43585</v>
      </c>
      <c r="M74" s="50"/>
      <c r="N74" s="50" t="s">
        <v>62</v>
      </c>
      <c r="O74" s="51">
        <v>1491.67</v>
      </c>
      <c r="P74" s="50"/>
      <c r="Q74" s="57">
        <v>13425.03</v>
      </c>
      <c r="R74" s="51">
        <v>6712.51</v>
      </c>
      <c r="S74" s="51">
        <v>6712.51</v>
      </c>
      <c r="T74" s="51">
        <v>4475.01</v>
      </c>
      <c r="U74" s="58">
        <f t="shared" si="12"/>
        <v>17900.03</v>
      </c>
      <c r="V74" s="50"/>
      <c r="W74" s="59">
        <v>5966.68</v>
      </c>
      <c r="X74" s="59"/>
      <c r="Y74" s="59"/>
      <c r="Z74" s="50"/>
      <c r="AA74" s="50"/>
      <c r="AB74" s="50"/>
      <c r="AC74" s="67">
        <f t="shared" si="14"/>
        <v>5696.11455847255</v>
      </c>
      <c r="AD74" s="67">
        <f t="shared" ref="AD74:AD76" si="16">AC74/1</f>
        <v>5696.11455847255</v>
      </c>
    </row>
    <row r="75" s="10" customFormat="1" spans="1:30">
      <c r="A75" s="28">
        <v>72</v>
      </c>
      <c r="B75" s="29" t="s">
        <v>285</v>
      </c>
      <c r="C75" s="29" t="s">
        <v>335</v>
      </c>
      <c r="D75" s="30"/>
      <c r="E75" s="31" t="s">
        <v>288</v>
      </c>
      <c r="F75" s="32" t="s">
        <v>336</v>
      </c>
      <c r="G75" s="33" t="s">
        <v>339</v>
      </c>
      <c r="H75" s="31" t="s">
        <v>340</v>
      </c>
      <c r="I75" s="47">
        <v>41760</v>
      </c>
      <c r="J75" s="48" t="s">
        <v>54</v>
      </c>
      <c r="K75" s="49">
        <v>41760</v>
      </c>
      <c r="L75" s="49">
        <v>43585</v>
      </c>
      <c r="M75" s="50"/>
      <c r="N75" s="50" t="s">
        <v>62</v>
      </c>
      <c r="O75" s="51">
        <v>1491.67</v>
      </c>
      <c r="P75" s="50"/>
      <c r="Q75" s="57">
        <v>13425.03</v>
      </c>
      <c r="R75" s="51">
        <v>6712.51</v>
      </c>
      <c r="S75" s="51">
        <v>6712.51</v>
      </c>
      <c r="T75" s="51">
        <v>4475.01</v>
      </c>
      <c r="U75" s="58">
        <f t="shared" si="12"/>
        <v>17900.03</v>
      </c>
      <c r="V75" s="50"/>
      <c r="W75" s="59">
        <v>5966.68</v>
      </c>
      <c r="X75" s="59"/>
      <c r="Y75" s="59"/>
      <c r="Z75" s="50"/>
      <c r="AA75" s="50"/>
      <c r="AB75" s="50"/>
      <c r="AC75" s="67">
        <f t="shared" si="14"/>
        <v>5696.11455847255</v>
      </c>
      <c r="AD75" s="67">
        <f t="shared" si="16"/>
        <v>5696.11455847255</v>
      </c>
    </row>
    <row r="76" s="10" customFormat="1" spans="1:30">
      <c r="A76" s="28">
        <v>73</v>
      </c>
      <c r="B76" s="29" t="s">
        <v>285</v>
      </c>
      <c r="C76" s="29" t="s">
        <v>335</v>
      </c>
      <c r="D76" s="30"/>
      <c r="E76" s="31" t="s">
        <v>288</v>
      </c>
      <c r="F76" s="32" t="s">
        <v>336</v>
      </c>
      <c r="G76" s="33" t="s">
        <v>341</v>
      </c>
      <c r="H76" s="31" t="s">
        <v>342</v>
      </c>
      <c r="I76" s="47">
        <v>41760</v>
      </c>
      <c r="J76" s="48" t="s">
        <v>54</v>
      </c>
      <c r="K76" s="49">
        <v>41760</v>
      </c>
      <c r="L76" s="49">
        <v>43585</v>
      </c>
      <c r="M76" s="50"/>
      <c r="N76" s="50" t="s">
        <v>62</v>
      </c>
      <c r="O76" s="51">
        <v>1491.67</v>
      </c>
      <c r="P76" s="50"/>
      <c r="Q76" s="57">
        <v>13425.03</v>
      </c>
      <c r="R76" s="51">
        <v>6712.51</v>
      </c>
      <c r="S76" s="51">
        <v>6712.51</v>
      </c>
      <c r="T76" s="51">
        <v>4475.01</v>
      </c>
      <c r="U76" s="58">
        <f t="shared" si="12"/>
        <v>17900.03</v>
      </c>
      <c r="V76" s="50"/>
      <c r="W76" s="59">
        <v>5966.68</v>
      </c>
      <c r="X76" s="59"/>
      <c r="Y76" s="59"/>
      <c r="Z76" s="50"/>
      <c r="AA76" s="50"/>
      <c r="AB76" s="50"/>
      <c r="AC76" s="67">
        <f t="shared" si="14"/>
        <v>5696.11455847255</v>
      </c>
      <c r="AD76" s="67">
        <f t="shared" si="16"/>
        <v>5696.11455847255</v>
      </c>
    </row>
    <row r="77" s="10" customFormat="1" spans="1:30">
      <c r="A77" s="28">
        <v>74</v>
      </c>
      <c r="B77" s="29" t="s">
        <v>285</v>
      </c>
      <c r="C77" s="29" t="s">
        <v>343</v>
      </c>
      <c r="D77" s="30"/>
      <c r="E77" s="31" t="s">
        <v>288</v>
      </c>
      <c r="F77" s="32" t="s">
        <v>344</v>
      </c>
      <c r="G77" s="33" t="s">
        <v>345</v>
      </c>
      <c r="H77" s="31" t="s">
        <v>346</v>
      </c>
      <c r="I77" s="47">
        <v>42979</v>
      </c>
      <c r="J77" s="48" t="s">
        <v>54</v>
      </c>
      <c r="K77" s="49">
        <v>42979</v>
      </c>
      <c r="L77" s="49">
        <v>44804</v>
      </c>
      <c r="M77" s="50"/>
      <c r="N77" s="50" t="s">
        <v>62</v>
      </c>
      <c r="O77" s="51">
        <v>23238.6</v>
      </c>
      <c r="P77" s="50"/>
      <c r="Q77" s="57">
        <v>209147.4</v>
      </c>
      <c r="R77" s="51">
        <v>104573.7</v>
      </c>
      <c r="S77" s="51">
        <v>104573.7</v>
      </c>
      <c r="T77" s="51">
        <v>69715.8</v>
      </c>
      <c r="U77" s="58">
        <f t="shared" si="12"/>
        <v>278863.2</v>
      </c>
      <c r="V77" s="50"/>
      <c r="W77" s="59">
        <v>278863.2</v>
      </c>
      <c r="X77" s="59">
        <v>278863.2</v>
      </c>
      <c r="Y77" s="59">
        <v>278863.2</v>
      </c>
      <c r="Z77" s="50">
        <v>278863.2</v>
      </c>
      <c r="AA77" s="50"/>
      <c r="AB77" s="50"/>
      <c r="AC77" s="67">
        <f t="shared" si="14"/>
        <v>994604.655767241</v>
      </c>
      <c r="AD77" s="68">
        <f>AC77/4</f>
        <v>248651.16394181</v>
      </c>
    </row>
    <row r="78" s="10" customFormat="1" spans="1:30">
      <c r="A78" s="28">
        <v>75</v>
      </c>
      <c r="B78" s="29" t="s">
        <v>285</v>
      </c>
      <c r="C78" s="29" t="s">
        <v>347</v>
      </c>
      <c r="D78" s="30"/>
      <c r="E78" s="31" t="s">
        <v>288</v>
      </c>
      <c r="F78" s="32" t="s">
        <v>344</v>
      </c>
      <c r="G78" s="33" t="s">
        <v>348</v>
      </c>
      <c r="H78" s="31" t="s">
        <v>349</v>
      </c>
      <c r="I78" s="47">
        <v>41775</v>
      </c>
      <c r="J78" s="48" t="s">
        <v>54</v>
      </c>
      <c r="K78" s="49">
        <v>41775</v>
      </c>
      <c r="L78" s="49">
        <v>43966</v>
      </c>
      <c r="M78" s="50"/>
      <c r="N78" s="50" t="s">
        <v>62</v>
      </c>
      <c r="O78" s="51">
        <v>2345.39</v>
      </c>
      <c r="P78" s="50"/>
      <c r="Q78" s="57">
        <v>21108.51</v>
      </c>
      <c r="R78" s="51">
        <v>10554.255</v>
      </c>
      <c r="S78" s="51">
        <v>10554.255</v>
      </c>
      <c r="T78" s="51">
        <v>7036.17</v>
      </c>
      <c r="U78" s="58">
        <f t="shared" si="12"/>
        <v>28144.68</v>
      </c>
      <c r="V78" s="50"/>
      <c r="W78" s="59">
        <v>26812.68</v>
      </c>
      <c r="X78" s="59">
        <v>11726.95</v>
      </c>
      <c r="Y78" s="59"/>
      <c r="Z78" s="50"/>
      <c r="AA78" s="50"/>
      <c r="AB78" s="50"/>
      <c r="AC78" s="67">
        <f t="shared" si="14"/>
        <v>36284.3522650247</v>
      </c>
      <c r="AD78" s="67">
        <f>AC78/2</f>
        <v>18142.1761325123</v>
      </c>
    </row>
    <row r="79" s="10" customFormat="1" spans="1:30">
      <c r="A79" s="28">
        <v>76</v>
      </c>
      <c r="B79" s="29" t="s">
        <v>285</v>
      </c>
      <c r="C79" s="29" t="s">
        <v>350</v>
      </c>
      <c r="D79" s="30"/>
      <c r="E79" s="31" t="s">
        <v>288</v>
      </c>
      <c r="F79" s="32" t="s">
        <v>344</v>
      </c>
      <c r="G79" s="33" t="s">
        <v>351</v>
      </c>
      <c r="H79" s="31" t="s">
        <v>352</v>
      </c>
      <c r="I79" s="47">
        <v>42552</v>
      </c>
      <c r="J79" s="48" t="s">
        <v>69</v>
      </c>
      <c r="K79" s="49">
        <v>42552</v>
      </c>
      <c r="L79" s="49">
        <v>43646</v>
      </c>
      <c r="M79" s="50"/>
      <c r="N79" s="50" t="s">
        <v>62</v>
      </c>
      <c r="O79" s="51">
        <v>3937.5</v>
      </c>
      <c r="P79" s="50"/>
      <c r="Q79" s="57">
        <v>35437.5</v>
      </c>
      <c r="R79" s="51">
        <v>17718.75</v>
      </c>
      <c r="S79" s="51">
        <v>17718.75</v>
      </c>
      <c r="T79" s="51">
        <v>11812.5</v>
      </c>
      <c r="U79" s="58">
        <f t="shared" si="12"/>
        <v>47250</v>
      </c>
      <c r="V79" s="50"/>
      <c r="W79" s="59">
        <v>23625</v>
      </c>
      <c r="X79" s="59"/>
      <c r="Y79" s="59"/>
      <c r="Z79" s="50"/>
      <c r="AA79" s="50"/>
      <c r="AB79" s="50"/>
      <c r="AC79" s="67">
        <f t="shared" si="14"/>
        <v>22553.6992840095</v>
      </c>
      <c r="AD79" s="67">
        <f t="shared" ref="AD79:AD81" si="17">AC79/1</f>
        <v>22553.6992840095</v>
      </c>
    </row>
    <row r="80" s="10" customFormat="1" spans="1:30">
      <c r="A80" s="28">
        <v>77</v>
      </c>
      <c r="B80" s="29" t="s">
        <v>285</v>
      </c>
      <c r="C80" s="29" t="s">
        <v>353</v>
      </c>
      <c r="D80" s="30"/>
      <c r="E80" s="31" t="s">
        <v>288</v>
      </c>
      <c r="F80" s="32" t="s">
        <v>344</v>
      </c>
      <c r="G80" s="33" t="s">
        <v>354</v>
      </c>
      <c r="H80" s="31" t="s">
        <v>355</v>
      </c>
      <c r="I80" s="47">
        <v>42552</v>
      </c>
      <c r="J80" s="48" t="s">
        <v>69</v>
      </c>
      <c r="K80" s="49">
        <v>42552</v>
      </c>
      <c r="L80" s="49">
        <v>43646</v>
      </c>
      <c r="M80" s="50"/>
      <c r="N80" s="50" t="s">
        <v>62</v>
      </c>
      <c r="O80" s="51">
        <v>1312.5</v>
      </c>
      <c r="P80" s="50"/>
      <c r="Q80" s="57">
        <v>11812.5</v>
      </c>
      <c r="R80" s="51">
        <v>5906.25</v>
      </c>
      <c r="S80" s="51">
        <v>5906.25</v>
      </c>
      <c r="T80" s="51">
        <v>3937.5</v>
      </c>
      <c r="U80" s="58">
        <f t="shared" si="12"/>
        <v>15750</v>
      </c>
      <c r="V80" s="50"/>
      <c r="W80" s="59">
        <v>7875</v>
      </c>
      <c r="X80" s="59"/>
      <c r="Y80" s="59"/>
      <c r="Z80" s="50"/>
      <c r="AA80" s="50"/>
      <c r="AB80" s="50"/>
      <c r="AC80" s="67">
        <f t="shared" si="14"/>
        <v>7517.89976133651</v>
      </c>
      <c r="AD80" s="67">
        <f t="shared" si="17"/>
        <v>7517.89976133651</v>
      </c>
    </row>
    <row r="81" s="10" customFormat="1" spans="1:30">
      <c r="A81" s="28">
        <v>78</v>
      </c>
      <c r="B81" s="29" t="s">
        <v>285</v>
      </c>
      <c r="C81" s="29" t="s">
        <v>356</v>
      </c>
      <c r="D81" s="30"/>
      <c r="E81" s="31" t="s">
        <v>288</v>
      </c>
      <c r="F81" s="32" t="s">
        <v>344</v>
      </c>
      <c r="G81" s="33" t="s">
        <v>357</v>
      </c>
      <c r="H81" s="31" t="s">
        <v>358</v>
      </c>
      <c r="I81" s="47">
        <v>42552</v>
      </c>
      <c r="J81" s="48" t="s">
        <v>69</v>
      </c>
      <c r="K81" s="49">
        <v>42552</v>
      </c>
      <c r="L81" s="49">
        <v>43646</v>
      </c>
      <c r="M81" s="50"/>
      <c r="N81" s="50" t="s">
        <v>62</v>
      </c>
      <c r="O81" s="51">
        <v>1312.5</v>
      </c>
      <c r="P81" s="50"/>
      <c r="Q81" s="57">
        <v>11812.5</v>
      </c>
      <c r="R81" s="51">
        <v>5906.25</v>
      </c>
      <c r="S81" s="51">
        <v>5906.25</v>
      </c>
      <c r="T81" s="51">
        <v>3937.5</v>
      </c>
      <c r="U81" s="58">
        <f t="shared" si="12"/>
        <v>15750</v>
      </c>
      <c r="V81" s="50"/>
      <c r="W81" s="59">
        <v>7875</v>
      </c>
      <c r="X81" s="59"/>
      <c r="Y81" s="59"/>
      <c r="Z81" s="50"/>
      <c r="AA81" s="50"/>
      <c r="AB81" s="50"/>
      <c r="AC81" s="67">
        <f t="shared" si="14"/>
        <v>7517.89976133651</v>
      </c>
      <c r="AD81" s="67">
        <f t="shared" si="17"/>
        <v>7517.89976133651</v>
      </c>
    </row>
    <row r="82" s="10" customFormat="1" spans="1:29">
      <c r="A82" s="28">
        <v>79</v>
      </c>
      <c r="B82" s="29" t="s">
        <v>285</v>
      </c>
      <c r="C82" s="29" t="s">
        <v>359</v>
      </c>
      <c r="D82" s="30"/>
      <c r="E82" s="31" t="s">
        <v>288</v>
      </c>
      <c r="F82" s="32" t="s">
        <v>360</v>
      </c>
      <c r="G82" s="33" t="s">
        <v>361</v>
      </c>
      <c r="H82" s="31" t="s">
        <v>362</v>
      </c>
      <c r="I82" s="47">
        <v>42195</v>
      </c>
      <c r="J82" s="48" t="s">
        <v>69</v>
      </c>
      <c r="K82" s="49">
        <v>42195</v>
      </c>
      <c r="L82" s="49">
        <v>43290</v>
      </c>
      <c r="M82" s="50"/>
      <c r="N82" s="50" t="s">
        <v>62</v>
      </c>
      <c r="O82" s="51">
        <v>10595</v>
      </c>
      <c r="P82" s="50"/>
      <c r="Q82" s="57">
        <v>74165</v>
      </c>
      <c r="R82" s="51">
        <v>37082.5</v>
      </c>
      <c r="S82" s="51">
        <v>37082.5</v>
      </c>
      <c r="T82" s="51">
        <v>0</v>
      </c>
      <c r="U82" s="58">
        <f t="shared" si="12"/>
        <v>74165</v>
      </c>
      <c r="V82" s="50"/>
      <c r="W82" s="59"/>
      <c r="X82" s="59"/>
      <c r="Y82" s="59"/>
      <c r="Z82" s="50"/>
      <c r="AA82" s="50"/>
      <c r="AB82" s="50"/>
      <c r="AC82" s="67">
        <f t="shared" si="14"/>
        <v>0</v>
      </c>
    </row>
    <row r="83" s="10" customFormat="1" spans="1:30">
      <c r="A83" s="28">
        <v>80</v>
      </c>
      <c r="B83" s="29" t="s">
        <v>363</v>
      </c>
      <c r="C83" s="29" t="s">
        <v>364</v>
      </c>
      <c r="D83" s="30" t="s">
        <v>365</v>
      </c>
      <c r="E83" s="31" t="s">
        <v>366</v>
      </c>
      <c r="F83" s="32" t="s">
        <v>367</v>
      </c>
      <c r="G83" s="33" t="s">
        <v>368</v>
      </c>
      <c r="H83" s="31" t="s">
        <v>369</v>
      </c>
      <c r="I83" s="47">
        <v>42928</v>
      </c>
      <c r="J83" s="48" t="s">
        <v>54</v>
      </c>
      <c r="K83" s="49">
        <v>42948</v>
      </c>
      <c r="L83" s="49">
        <v>44773</v>
      </c>
      <c r="M83" s="50"/>
      <c r="N83" s="50" t="s">
        <v>370</v>
      </c>
      <c r="O83" s="51">
        <v>69004.58</v>
      </c>
      <c r="P83" s="50" t="s">
        <v>371</v>
      </c>
      <c r="Q83" s="57">
        <f>O83*9</f>
        <v>621041.22</v>
      </c>
      <c r="R83" s="51">
        <v>665609.56</v>
      </c>
      <c r="S83" s="51">
        <v>75186.32</v>
      </c>
      <c r="T83" s="51">
        <v>0</v>
      </c>
      <c r="U83" s="58">
        <f t="shared" si="12"/>
        <v>740795.88</v>
      </c>
      <c r="V83" s="50" t="s">
        <v>372</v>
      </c>
      <c r="W83" s="59">
        <v>828054.9</v>
      </c>
      <c r="X83" s="59">
        <v>868647.65</v>
      </c>
      <c r="Y83" s="59">
        <v>868647.65</v>
      </c>
      <c r="Z83" s="50"/>
      <c r="AA83" s="50"/>
      <c r="AB83" s="50"/>
      <c r="AC83" s="67">
        <f t="shared" si="14"/>
        <v>2337916.10438431</v>
      </c>
      <c r="AD83" s="67">
        <f>AC83/3</f>
        <v>779305.368128103</v>
      </c>
    </row>
    <row r="84" s="10" customFormat="1" spans="1:30">
      <c r="A84" s="28">
        <v>81</v>
      </c>
      <c r="B84" s="29" t="s">
        <v>373</v>
      </c>
      <c r="C84" s="29" t="s">
        <v>374</v>
      </c>
      <c r="D84" s="30" t="s">
        <v>375</v>
      </c>
      <c r="E84" s="31" t="s">
        <v>376</v>
      </c>
      <c r="F84" s="32" t="s">
        <v>377</v>
      </c>
      <c r="G84" s="33" t="s">
        <v>378</v>
      </c>
      <c r="H84" s="31" t="s">
        <v>379</v>
      </c>
      <c r="I84" s="47">
        <v>41951</v>
      </c>
      <c r="J84" s="48" t="s">
        <v>54</v>
      </c>
      <c r="K84" s="49">
        <v>41944</v>
      </c>
      <c r="L84" s="49">
        <v>43830</v>
      </c>
      <c r="M84" s="50"/>
      <c r="N84" s="50" t="s">
        <v>92</v>
      </c>
      <c r="O84" s="51">
        <v>156930.95</v>
      </c>
      <c r="P84" s="50" t="s">
        <v>380</v>
      </c>
      <c r="Q84" s="57">
        <v>1412378.55</v>
      </c>
      <c r="R84" s="51">
        <v>1272413.16</v>
      </c>
      <c r="S84" s="51">
        <v>0</v>
      </c>
      <c r="T84" s="51">
        <v>424137.69</v>
      </c>
      <c r="U84" s="58">
        <f t="shared" ref="U84:U89" si="18">R84+S84+T84</f>
        <v>1696550.85</v>
      </c>
      <c r="V84" s="50"/>
      <c r="W84" s="59">
        <v>1696550.85</v>
      </c>
      <c r="X84" s="59"/>
      <c r="Y84" s="59"/>
      <c r="Z84" s="50"/>
      <c r="AA84" s="50"/>
      <c r="AB84" s="50"/>
      <c r="AC84" s="67">
        <f t="shared" si="14"/>
        <v>1619618.94988067</v>
      </c>
      <c r="AD84" s="67">
        <f t="shared" ref="AD84:AD87" si="19">AC84/1</f>
        <v>1619618.94988067</v>
      </c>
    </row>
    <row r="85" s="10" customFormat="1" spans="1:30">
      <c r="A85" s="28">
        <v>82</v>
      </c>
      <c r="B85" s="29" t="s">
        <v>373</v>
      </c>
      <c r="C85" s="29" t="s">
        <v>381</v>
      </c>
      <c r="D85" s="30" t="s">
        <v>382</v>
      </c>
      <c r="E85" s="31" t="s">
        <v>376</v>
      </c>
      <c r="F85" s="32" t="s">
        <v>377</v>
      </c>
      <c r="G85" s="33" t="s">
        <v>383</v>
      </c>
      <c r="H85" s="31" t="s">
        <v>384</v>
      </c>
      <c r="I85" s="47">
        <v>43083</v>
      </c>
      <c r="J85" s="48" t="s">
        <v>120</v>
      </c>
      <c r="K85" s="49">
        <v>43101</v>
      </c>
      <c r="L85" s="49">
        <v>43830</v>
      </c>
      <c r="M85" s="50"/>
      <c r="N85" s="50" t="s">
        <v>92</v>
      </c>
      <c r="O85" s="51">
        <v>3500</v>
      </c>
      <c r="P85" s="50"/>
      <c r="Q85" s="57">
        <v>31500</v>
      </c>
      <c r="R85" s="51">
        <v>29999.99</v>
      </c>
      <c r="S85" s="51"/>
      <c r="T85" s="51">
        <v>10000.01</v>
      </c>
      <c r="U85" s="58">
        <f t="shared" si="18"/>
        <v>40000</v>
      </c>
      <c r="V85" s="50"/>
      <c r="W85" s="59">
        <v>40000</v>
      </c>
      <c r="X85" s="59"/>
      <c r="Y85" s="59"/>
      <c r="Z85" s="50"/>
      <c r="AA85" s="50"/>
      <c r="AB85" s="50"/>
      <c r="AC85" s="67">
        <f t="shared" si="14"/>
        <v>38186.1575178998</v>
      </c>
      <c r="AD85" s="67">
        <f t="shared" si="19"/>
        <v>38186.1575178998</v>
      </c>
    </row>
    <row r="86" s="10" customFormat="1" spans="1:30">
      <c r="A86" s="28">
        <v>83</v>
      </c>
      <c r="B86" s="29" t="s">
        <v>373</v>
      </c>
      <c r="C86" s="29" t="s">
        <v>385</v>
      </c>
      <c r="D86" s="30" t="s">
        <v>386</v>
      </c>
      <c r="E86" s="31" t="s">
        <v>376</v>
      </c>
      <c r="F86" s="32" t="s">
        <v>377</v>
      </c>
      <c r="G86" s="33" t="s">
        <v>387</v>
      </c>
      <c r="H86" s="31" t="s">
        <v>388</v>
      </c>
      <c r="I86" s="47">
        <v>43083</v>
      </c>
      <c r="J86" s="48" t="s">
        <v>120</v>
      </c>
      <c r="K86" s="49">
        <v>43101</v>
      </c>
      <c r="L86" s="49">
        <v>43830</v>
      </c>
      <c r="M86" s="50"/>
      <c r="N86" s="50" t="s">
        <v>92</v>
      </c>
      <c r="O86" s="51">
        <v>3500</v>
      </c>
      <c r="P86" s="50"/>
      <c r="Q86" s="57">
        <v>31500</v>
      </c>
      <c r="R86" s="51">
        <v>29999.99</v>
      </c>
      <c r="S86" s="51"/>
      <c r="T86" s="51">
        <v>10000.01</v>
      </c>
      <c r="U86" s="58">
        <f t="shared" si="18"/>
        <v>40000</v>
      </c>
      <c r="V86" s="50"/>
      <c r="W86" s="59">
        <v>40000</v>
      </c>
      <c r="X86" s="59"/>
      <c r="Y86" s="59"/>
      <c r="Z86" s="50"/>
      <c r="AA86" s="50"/>
      <c r="AB86" s="50"/>
      <c r="AC86" s="67">
        <f t="shared" si="14"/>
        <v>38186.1575178998</v>
      </c>
      <c r="AD86" s="67">
        <f t="shared" si="19"/>
        <v>38186.1575178998</v>
      </c>
    </row>
    <row r="87" s="10" customFormat="1" spans="1:30">
      <c r="A87" s="28">
        <v>84</v>
      </c>
      <c r="B87" s="29" t="s">
        <v>373</v>
      </c>
      <c r="C87" s="29" t="s">
        <v>389</v>
      </c>
      <c r="D87" s="30" t="s">
        <v>390</v>
      </c>
      <c r="E87" s="31" t="s">
        <v>376</v>
      </c>
      <c r="F87" s="32" t="s">
        <v>391</v>
      </c>
      <c r="G87" s="33" t="s">
        <v>392</v>
      </c>
      <c r="H87" s="31" t="s">
        <v>393</v>
      </c>
      <c r="I87" s="47">
        <v>43087</v>
      </c>
      <c r="J87" s="48" t="s">
        <v>120</v>
      </c>
      <c r="K87" s="49">
        <v>43101</v>
      </c>
      <c r="L87" s="49">
        <v>43830</v>
      </c>
      <c r="M87" s="50"/>
      <c r="N87" s="50" t="s">
        <v>92</v>
      </c>
      <c r="O87" s="51">
        <v>3500</v>
      </c>
      <c r="P87" s="50"/>
      <c r="Q87" s="57">
        <v>31500</v>
      </c>
      <c r="R87" s="51">
        <v>29999.99</v>
      </c>
      <c r="S87" s="51">
        <v>0</v>
      </c>
      <c r="T87" s="51">
        <v>10000.01</v>
      </c>
      <c r="U87" s="58">
        <f t="shared" si="18"/>
        <v>40000</v>
      </c>
      <c r="V87" s="50"/>
      <c r="W87" s="59">
        <v>40000</v>
      </c>
      <c r="X87" s="59"/>
      <c r="Y87" s="59"/>
      <c r="Z87" s="50"/>
      <c r="AA87" s="50"/>
      <c r="AB87" s="50"/>
      <c r="AC87" s="67">
        <f t="shared" si="14"/>
        <v>38186.1575178998</v>
      </c>
      <c r="AD87" s="67">
        <f t="shared" si="19"/>
        <v>38186.1575178998</v>
      </c>
    </row>
    <row r="88" s="10" customFormat="1" spans="1:30">
      <c r="A88" s="28">
        <v>85</v>
      </c>
      <c r="B88" s="29" t="s">
        <v>373</v>
      </c>
      <c r="C88" s="29" t="s">
        <v>394</v>
      </c>
      <c r="D88" s="30" t="s">
        <v>395</v>
      </c>
      <c r="E88" s="31" t="s">
        <v>376</v>
      </c>
      <c r="F88" s="32" t="s">
        <v>391</v>
      </c>
      <c r="G88" s="33" t="s">
        <v>396</v>
      </c>
      <c r="H88" s="31" t="s">
        <v>397</v>
      </c>
      <c r="I88" s="47">
        <v>43164</v>
      </c>
      <c r="J88" s="48" t="s">
        <v>120</v>
      </c>
      <c r="K88" s="49">
        <v>43164</v>
      </c>
      <c r="L88" s="49">
        <v>43894</v>
      </c>
      <c r="M88" s="50"/>
      <c r="N88" s="50" t="s">
        <v>398</v>
      </c>
      <c r="O88" s="51">
        <v>666.66</v>
      </c>
      <c r="P88" s="50"/>
      <c r="Q88" s="57">
        <v>5999.94</v>
      </c>
      <c r="R88" s="51">
        <v>5714.29</v>
      </c>
      <c r="S88" s="51">
        <v>0</v>
      </c>
      <c r="T88" s="51">
        <v>1904.76</v>
      </c>
      <c r="U88" s="58">
        <f t="shared" si="18"/>
        <v>7619.05</v>
      </c>
      <c r="V88" s="50"/>
      <c r="W88" s="59">
        <v>7619.05</v>
      </c>
      <c r="X88" s="59">
        <v>1982.65</v>
      </c>
      <c r="Y88" s="59"/>
      <c r="Z88" s="50"/>
      <c r="AA88" s="50"/>
      <c r="AB88" s="50"/>
      <c r="AC88" s="67">
        <f t="shared" si="14"/>
        <v>9080.47220054568</v>
      </c>
      <c r="AD88" s="67">
        <f>AC88/2</f>
        <v>4540.23610027284</v>
      </c>
    </row>
    <row r="89" s="10" customFormat="1" spans="1:29">
      <c r="A89" s="28">
        <v>86</v>
      </c>
      <c r="B89" s="29" t="s">
        <v>373</v>
      </c>
      <c r="C89" s="29" t="s">
        <v>394</v>
      </c>
      <c r="D89" s="30" t="s">
        <v>399</v>
      </c>
      <c r="E89" s="31" t="s">
        <v>376</v>
      </c>
      <c r="F89" s="32" t="s">
        <v>391</v>
      </c>
      <c r="G89" s="33" t="s">
        <v>400</v>
      </c>
      <c r="H89" s="31" t="s">
        <v>401</v>
      </c>
      <c r="I89" s="47">
        <v>43086</v>
      </c>
      <c r="J89" s="48" t="s">
        <v>120</v>
      </c>
      <c r="K89" s="49">
        <v>43089</v>
      </c>
      <c r="L89" s="49">
        <v>44196</v>
      </c>
      <c r="M89" s="50" t="s">
        <v>402</v>
      </c>
      <c r="N89" s="50" t="s">
        <v>92</v>
      </c>
      <c r="O89" s="51">
        <v>3166.67</v>
      </c>
      <c r="P89" s="50"/>
      <c r="Q89" s="57">
        <v>28500</v>
      </c>
      <c r="R89" s="51">
        <v>27142.86</v>
      </c>
      <c r="S89" s="51">
        <v>0</v>
      </c>
      <c r="T89" s="51">
        <v>9047.62</v>
      </c>
      <c r="U89" s="58">
        <f t="shared" si="18"/>
        <v>36190.48</v>
      </c>
      <c r="V89" s="50"/>
      <c r="W89" s="59"/>
      <c r="X89" s="59"/>
      <c r="Y89" s="59"/>
      <c r="Z89" s="50"/>
      <c r="AA89" s="50"/>
      <c r="AB89" s="50"/>
      <c r="AC89" s="67">
        <f t="shared" si="14"/>
        <v>0</v>
      </c>
    </row>
    <row r="90" s="10" customFormat="1" spans="1:30">
      <c r="A90" s="28">
        <v>87</v>
      </c>
      <c r="B90" s="29" t="s">
        <v>373</v>
      </c>
      <c r="C90" s="29" t="s">
        <v>403</v>
      </c>
      <c r="D90" s="30" t="s">
        <v>404</v>
      </c>
      <c r="E90" s="31" t="s">
        <v>376</v>
      </c>
      <c r="F90" s="32" t="s">
        <v>405</v>
      </c>
      <c r="G90" s="33" t="s">
        <v>406</v>
      </c>
      <c r="H90" s="31" t="s">
        <v>407</v>
      </c>
      <c r="I90" s="47">
        <v>43090</v>
      </c>
      <c r="J90" s="48" t="s">
        <v>69</v>
      </c>
      <c r="K90" s="49">
        <v>43094</v>
      </c>
      <c r="L90" s="49">
        <v>44196</v>
      </c>
      <c r="M90" s="50"/>
      <c r="N90" s="50" t="s">
        <v>92</v>
      </c>
      <c r="O90" s="51">
        <v>3500</v>
      </c>
      <c r="P90" s="50"/>
      <c r="Q90" s="57">
        <v>31500</v>
      </c>
      <c r="R90" s="51">
        <v>29999.99</v>
      </c>
      <c r="S90" s="51">
        <v>0</v>
      </c>
      <c r="T90" s="51">
        <v>10000.01</v>
      </c>
      <c r="U90" s="58">
        <v>40000</v>
      </c>
      <c r="V90" s="50"/>
      <c r="W90" s="59">
        <v>40000</v>
      </c>
      <c r="X90" s="59">
        <v>40000</v>
      </c>
      <c r="Y90" s="59"/>
      <c r="Z90" s="50"/>
      <c r="AA90" s="50"/>
      <c r="AB90" s="50"/>
      <c r="AC90" s="67">
        <f t="shared" si="14"/>
        <v>74640.7231674461</v>
      </c>
      <c r="AD90" s="67">
        <f>AC90/2</f>
        <v>37320.361583723</v>
      </c>
    </row>
    <row r="91" s="10" customFormat="1" spans="1:30">
      <c r="A91" s="28">
        <v>88</v>
      </c>
      <c r="B91" s="29" t="s">
        <v>373</v>
      </c>
      <c r="C91" s="29" t="s">
        <v>408</v>
      </c>
      <c r="D91" s="30" t="s">
        <v>409</v>
      </c>
      <c r="E91" s="31" t="s">
        <v>376</v>
      </c>
      <c r="F91" s="32" t="s">
        <v>410</v>
      </c>
      <c r="G91" s="33" t="s">
        <v>411</v>
      </c>
      <c r="H91" s="31" t="s">
        <v>412</v>
      </c>
      <c r="I91" s="47">
        <v>43217</v>
      </c>
      <c r="J91" s="48" t="s">
        <v>54</v>
      </c>
      <c r="K91" s="49">
        <v>43230</v>
      </c>
      <c r="L91" s="49">
        <v>45107</v>
      </c>
      <c r="M91" s="50"/>
      <c r="N91" s="50" t="s">
        <v>92</v>
      </c>
      <c r="O91" s="51">
        <v>8229.6</v>
      </c>
      <c r="P91" s="50" t="s">
        <v>413</v>
      </c>
      <c r="Q91" s="57">
        <v>24688.8</v>
      </c>
      <c r="R91" s="51">
        <v>23513.14</v>
      </c>
      <c r="S91" s="51"/>
      <c r="T91" s="51">
        <v>23513.14</v>
      </c>
      <c r="U91" s="58">
        <f t="shared" ref="U91:U100" si="20">R91+S91+T91</f>
        <v>47026.28</v>
      </c>
      <c r="V91" s="50"/>
      <c r="W91" s="59">
        <v>94052.57</v>
      </c>
      <c r="X91" s="59">
        <v>96403.88</v>
      </c>
      <c r="Y91" s="59">
        <v>101224.08</v>
      </c>
      <c r="Z91" s="50">
        <v>106285.28</v>
      </c>
      <c r="AA91" s="50">
        <v>54438.8</v>
      </c>
      <c r="AB91" s="50"/>
      <c r="AC91" s="67">
        <f t="shared" si="14"/>
        <v>397160.004123196</v>
      </c>
      <c r="AD91" s="67">
        <f>AC91/5</f>
        <v>79432.0008246392</v>
      </c>
    </row>
    <row r="92" s="10" customFormat="1" spans="1:30">
      <c r="A92" s="28">
        <v>89</v>
      </c>
      <c r="B92" s="29" t="s">
        <v>373</v>
      </c>
      <c r="C92" s="29" t="s">
        <v>414</v>
      </c>
      <c r="D92" s="30" t="s">
        <v>415</v>
      </c>
      <c r="E92" s="31" t="s">
        <v>376</v>
      </c>
      <c r="F92" s="32" t="s">
        <v>416</v>
      </c>
      <c r="G92" s="33" t="s">
        <v>417</v>
      </c>
      <c r="H92" s="31" t="s">
        <v>418</v>
      </c>
      <c r="I92" s="47">
        <v>43227</v>
      </c>
      <c r="J92" s="48" t="s">
        <v>69</v>
      </c>
      <c r="K92" s="49">
        <v>43225</v>
      </c>
      <c r="L92" s="49">
        <v>44347</v>
      </c>
      <c r="M92" s="50"/>
      <c r="N92" s="50" t="s">
        <v>92</v>
      </c>
      <c r="O92" s="51">
        <v>19166.67</v>
      </c>
      <c r="P92" s="50"/>
      <c r="Q92" s="57">
        <v>76666.68</v>
      </c>
      <c r="R92" s="51">
        <v>73015.87</v>
      </c>
      <c r="S92" s="51"/>
      <c r="T92" s="51">
        <v>54761.91</v>
      </c>
      <c r="U92" s="58">
        <f t="shared" si="20"/>
        <v>127777.78</v>
      </c>
      <c r="V92" s="50"/>
      <c r="W92" s="59">
        <v>219047.62</v>
      </c>
      <c r="X92" s="59">
        <v>219047.62</v>
      </c>
      <c r="Y92" s="59">
        <v>91269.84</v>
      </c>
      <c r="Z92" s="50"/>
      <c r="AA92" s="50"/>
      <c r="AB92" s="50"/>
      <c r="AC92" s="67">
        <f t="shared" si="14"/>
        <v>488154.990342354</v>
      </c>
      <c r="AD92" s="67">
        <f>AC92/3</f>
        <v>162718.330114118</v>
      </c>
    </row>
    <row r="93" s="10" customFormat="1" spans="1:30">
      <c r="A93" s="28">
        <v>90</v>
      </c>
      <c r="B93" s="29" t="s">
        <v>373</v>
      </c>
      <c r="C93" s="29" t="s">
        <v>419</v>
      </c>
      <c r="D93" s="30" t="s">
        <v>420</v>
      </c>
      <c r="E93" s="31" t="s">
        <v>376</v>
      </c>
      <c r="F93" s="32" t="s">
        <v>421</v>
      </c>
      <c r="G93" s="33" t="s">
        <v>422</v>
      </c>
      <c r="H93" s="31" t="s">
        <v>423</v>
      </c>
      <c r="I93" s="47">
        <v>43234</v>
      </c>
      <c r="J93" s="48" t="s">
        <v>54</v>
      </c>
      <c r="K93" s="49">
        <v>43252</v>
      </c>
      <c r="L93" s="49">
        <v>45107</v>
      </c>
      <c r="M93" s="50"/>
      <c r="N93" s="50" t="s">
        <v>92</v>
      </c>
      <c r="O93" s="51">
        <v>19080</v>
      </c>
      <c r="P93" s="50" t="s">
        <v>424</v>
      </c>
      <c r="Q93" s="57">
        <v>0</v>
      </c>
      <c r="R93" s="51">
        <v>0</v>
      </c>
      <c r="S93" s="51">
        <v>0</v>
      </c>
      <c r="T93" s="51">
        <v>0</v>
      </c>
      <c r="U93" s="58">
        <f t="shared" si="20"/>
        <v>0</v>
      </c>
      <c r="V93" s="50"/>
      <c r="W93" s="59"/>
      <c r="X93" s="59"/>
      <c r="Y93" s="59">
        <v>109028.57</v>
      </c>
      <c r="Z93" s="50">
        <v>218057.14</v>
      </c>
      <c r="AA93" s="50">
        <v>109028.57</v>
      </c>
      <c r="AB93" s="50"/>
      <c r="AC93" s="67">
        <f t="shared" si="14"/>
        <v>397672.941734699</v>
      </c>
      <c r="AD93" s="68">
        <f>AC93/5</f>
        <v>79534.5883469397</v>
      </c>
    </row>
    <row r="94" s="10" customFormat="1" spans="1:30">
      <c r="A94" s="28">
        <v>91</v>
      </c>
      <c r="B94" s="29" t="s">
        <v>373</v>
      </c>
      <c r="C94" s="29" t="s">
        <v>425</v>
      </c>
      <c r="D94" s="30" t="s">
        <v>426</v>
      </c>
      <c r="E94" s="31" t="s">
        <v>376</v>
      </c>
      <c r="F94" s="32" t="s">
        <v>427</v>
      </c>
      <c r="G94" s="33" t="s">
        <v>428</v>
      </c>
      <c r="H94" s="31" t="s">
        <v>429</v>
      </c>
      <c r="I94" s="47">
        <v>42832</v>
      </c>
      <c r="J94" s="48" t="s">
        <v>54</v>
      </c>
      <c r="K94" s="49">
        <v>42856</v>
      </c>
      <c r="L94" s="49">
        <v>44712</v>
      </c>
      <c r="M94" s="50"/>
      <c r="N94" s="50" t="s">
        <v>92</v>
      </c>
      <c r="O94" s="51">
        <v>10000</v>
      </c>
      <c r="P94" s="50" t="s">
        <v>430</v>
      </c>
      <c r="Q94" s="57">
        <f>O94*9</f>
        <v>90000</v>
      </c>
      <c r="R94" s="51">
        <v>81457.5</v>
      </c>
      <c r="S94" s="51"/>
      <c r="T94" s="51">
        <v>27272.73</v>
      </c>
      <c r="U94" s="58">
        <f t="shared" si="20"/>
        <v>108730.23</v>
      </c>
      <c r="V94" s="50"/>
      <c r="W94" s="59">
        <f>O94*12/1.1</f>
        <v>109090.909090909</v>
      </c>
      <c r="X94" s="59">
        <f>O94/1.1*12</f>
        <v>109090.909090909</v>
      </c>
      <c r="Y94" s="59">
        <f>126000/1.1</f>
        <v>114545.454545455</v>
      </c>
      <c r="Z94" s="50">
        <f>132300/1.1</f>
        <v>120272.727272727</v>
      </c>
      <c r="AA94" s="50"/>
      <c r="AB94" s="50"/>
      <c r="AC94" s="67">
        <f t="shared" si="14"/>
        <v>403121.109061608</v>
      </c>
      <c r="AD94" s="68">
        <f t="shared" ref="AD94" si="21">AC94/4</f>
        <v>100780.277265402</v>
      </c>
    </row>
    <row r="95" s="10" customFormat="1" spans="1:30">
      <c r="A95" s="28">
        <v>92</v>
      </c>
      <c r="B95" s="29" t="s">
        <v>431</v>
      </c>
      <c r="C95" s="29" t="s">
        <v>432</v>
      </c>
      <c r="D95" s="30"/>
      <c r="E95" s="31" t="s">
        <v>433</v>
      </c>
      <c r="F95" s="32" t="s">
        <v>434</v>
      </c>
      <c r="G95" s="33" t="s">
        <v>435</v>
      </c>
      <c r="H95" s="31" t="s">
        <v>436</v>
      </c>
      <c r="I95" s="47"/>
      <c r="J95" s="48" t="s">
        <v>78</v>
      </c>
      <c r="K95" s="49">
        <v>42186</v>
      </c>
      <c r="L95" s="49">
        <v>45107</v>
      </c>
      <c r="M95" s="50"/>
      <c r="N95" s="50" t="s">
        <v>437</v>
      </c>
      <c r="O95" s="51">
        <f>25640.411328*1.2616</f>
        <v>32347.9429314048</v>
      </c>
      <c r="P95" s="50" t="s">
        <v>438</v>
      </c>
      <c r="Q95" s="57">
        <f>R95</f>
        <v>297881.93</v>
      </c>
      <c r="R95" s="51">
        <f>76660.47+20054.39+96714.84+104452.23</f>
        <v>297881.93</v>
      </c>
      <c r="S95" s="51">
        <v>0</v>
      </c>
      <c r="T95" s="51">
        <v>104452.23</v>
      </c>
      <c r="U95" s="58">
        <f t="shared" si="20"/>
        <v>402334.16</v>
      </c>
      <c r="V95" s="50"/>
      <c r="W95" s="59">
        <f>104452.23*2+104452.23*1.08*2</f>
        <v>434521.2768</v>
      </c>
      <c r="X95" s="59">
        <f>W95*1.08</f>
        <v>469282.978944</v>
      </c>
      <c r="Y95" s="59">
        <f>X95*1.08</f>
        <v>506825.61725952</v>
      </c>
      <c r="Z95" s="50">
        <f>Y95*1.08</f>
        <v>547371.666640282</v>
      </c>
      <c r="AA95" s="50">
        <f>Z95*1.08/12*6</f>
        <v>295580.699985752</v>
      </c>
      <c r="AB95" s="50"/>
      <c r="AC95" s="67">
        <f t="shared" si="14"/>
        <v>1972472.93002277</v>
      </c>
      <c r="AD95" s="67">
        <f t="shared" ref="AD95:AD97" si="22">AC95/5</f>
        <v>394494.586004554</v>
      </c>
    </row>
    <row r="96" s="10" customFormat="1" spans="1:30">
      <c r="A96" s="28">
        <v>93</v>
      </c>
      <c r="B96" s="29" t="s">
        <v>431</v>
      </c>
      <c r="C96" s="29" t="s">
        <v>432</v>
      </c>
      <c r="D96" s="30" t="s">
        <v>439</v>
      </c>
      <c r="E96" s="31" t="s">
        <v>433</v>
      </c>
      <c r="F96" s="32" t="s">
        <v>434</v>
      </c>
      <c r="G96" s="33" t="s">
        <v>440</v>
      </c>
      <c r="H96" s="31" t="s">
        <v>441</v>
      </c>
      <c r="I96" s="47">
        <v>42787</v>
      </c>
      <c r="J96" s="48" t="s">
        <v>219</v>
      </c>
      <c r="K96" s="49">
        <v>42795</v>
      </c>
      <c r="L96" s="49">
        <v>44985</v>
      </c>
      <c r="M96" s="50"/>
      <c r="N96" s="50" t="s">
        <v>62</v>
      </c>
      <c r="O96" s="51">
        <f>7152.2*1.2616</f>
        <v>9023.21552</v>
      </c>
      <c r="P96" s="50" t="s">
        <v>442</v>
      </c>
      <c r="Q96" s="57">
        <f>R96</f>
        <v>87524.44</v>
      </c>
      <c r="R96" s="51">
        <f>21456+5612.88+30678.95+29776.61</f>
        <v>87524.44</v>
      </c>
      <c r="S96" s="51">
        <v>0</v>
      </c>
      <c r="T96" s="51">
        <f>29776.61</f>
        <v>29776.61</v>
      </c>
      <c r="U96" s="58">
        <f t="shared" si="20"/>
        <v>117301.05</v>
      </c>
      <c r="V96" s="50"/>
      <c r="W96" s="59">
        <f>29776.61*1.1*4</f>
        <v>131017.084</v>
      </c>
      <c r="X96" s="59">
        <f>W96*1.1</f>
        <v>144118.7924</v>
      </c>
      <c r="Y96" s="59">
        <f>X96*1.1</f>
        <v>158530.67164</v>
      </c>
      <c r="Z96" s="50">
        <f>Y96*1.1</f>
        <v>174383.738804</v>
      </c>
      <c r="AA96" s="50">
        <f>Z96*1.1/12*2</f>
        <v>31970.3521140667</v>
      </c>
      <c r="AB96" s="50"/>
      <c r="AC96" s="67">
        <f t="shared" si="14"/>
        <v>564538.689273258</v>
      </c>
      <c r="AD96" s="67">
        <f t="shared" si="22"/>
        <v>112907.737854652</v>
      </c>
    </row>
    <row r="97" s="10" customFormat="1" spans="1:30">
      <c r="A97" s="28">
        <v>94</v>
      </c>
      <c r="B97" s="29" t="s">
        <v>431</v>
      </c>
      <c r="C97" s="29" t="s">
        <v>432</v>
      </c>
      <c r="D97" s="30" t="s">
        <v>443</v>
      </c>
      <c r="E97" s="31" t="s">
        <v>433</v>
      </c>
      <c r="F97" s="32" t="s">
        <v>434</v>
      </c>
      <c r="G97" s="33" t="s">
        <v>444</v>
      </c>
      <c r="H97" s="31" t="s">
        <v>445</v>
      </c>
      <c r="I97" s="47"/>
      <c r="J97" s="48" t="s">
        <v>446</v>
      </c>
      <c r="K97" s="49">
        <v>42491</v>
      </c>
      <c r="L97" s="49">
        <v>45046</v>
      </c>
      <c r="M97" s="50"/>
      <c r="N97" s="50" t="s">
        <v>447</v>
      </c>
      <c r="O97" s="51">
        <f>27057.03*1.2616</f>
        <v>34135.149048</v>
      </c>
      <c r="P97" s="50" t="s">
        <v>448</v>
      </c>
      <c r="Q97" s="57">
        <f>R97</f>
        <v>314953.41</v>
      </c>
      <c r="R97" s="51">
        <f>102013.6+105414.1+107525.71</f>
        <v>314953.41</v>
      </c>
      <c r="S97" s="51">
        <v>0</v>
      </c>
      <c r="T97" s="51">
        <v>107525.71</v>
      </c>
      <c r="U97" s="58">
        <f t="shared" si="20"/>
        <v>422479.12</v>
      </c>
      <c r="V97" s="50"/>
      <c r="W97" s="59">
        <f>107525.71+107525.71*1.05*3</f>
        <v>446231.6965</v>
      </c>
      <c r="X97" s="59">
        <f>W97*1.05</f>
        <v>468543.281325</v>
      </c>
      <c r="Y97" s="59">
        <f>X97*1.05</f>
        <v>491970.44539125</v>
      </c>
      <c r="Z97" s="50">
        <f>Y97*1.05</f>
        <v>516568.967660813</v>
      </c>
      <c r="AA97" s="50">
        <f>Z97*1.05/12*4</f>
        <v>180799.138681284</v>
      </c>
      <c r="AB97" s="50"/>
      <c r="AC97" s="67">
        <f t="shared" si="14"/>
        <v>1853456.69848078</v>
      </c>
      <c r="AD97" s="67">
        <f t="shared" si="22"/>
        <v>370691.339696156</v>
      </c>
    </row>
    <row r="98" s="10" customFormat="1" spans="1:30">
      <c r="A98" s="28">
        <v>95</v>
      </c>
      <c r="B98" s="29" t="s">
        <v>431</v>
      </c>
      <c r="C98" s="29" t="s">
        <v>432</v>
      </c>
      <c r="D98" s="30" t="s">
        <v>449</v>
      </c>
      <c r="E98" s="31" t="s">
        <v>433</v>
      </c>
      <c r="F98" s="32" t="s">
        <v>434</v>
      </c>
      <c r="G98" s="33" t="s">
        <v>450</v>
      </c>
      <c r="H98" s="31" t="s">
        <v>451</v>
      </c>
      <c r="I98" s="47"/>
      <c r="J98" s="48" t="s">
        <v>69</v>
      </c>
      <c r="K98" s="49">
        <v>43252</v>
      </c>
      <c r="L98" s="49">
        <v>44347</v>
      </c>
      <c r="M98" s="50"/>
      <c r="N98" s="50" t="s">
        <v>62</v>
      </c>
      <c r="O98" s="51">
        <v>3564.99</v>
      </c>
      <c r="P98" s="50" t="s">
        <v>438</v>
      </c>
      <c r="Q98" s="57">
        <f>R98</f>
        <v>21389.92</v>
      </c>
      <c r="R98" s="51">
        <f>10694.96*2</f>
        <v>21389.92</v>
      </c>
      <c r="S98" s="51"/>
      <c r="T98" s="51">
        <v>10694.96</v>
      </c>
      <c r="U98" s="58">
        <f t="shared" si="20"/>
        <v>32084.88</v>
      </c>
      <c r="V98" s="50"/>
      <c r="W98" s="59">
        <f>10694.96+10694.96*1.08*3</f>
        <v>45346.6304</v>
      </c>
      <c r="X98" s="59">
        <f>W98*1.08</f>
        <v>48974.360832</v>
      </c>
      <c r="Y98" s="59">
        <f>X98*1.08/12*5</f>
        <v>22038.4623744</v>
      </c>
      <c r="Z98" s="50"/>
      <c r="AA98" s="50"/>
      <c r="AB98" s="50"/>
      <c r="AC98" s="67">
        <f t="shared" si="14"/>
        <v>107098.101348731</v>
      </c>
      <c r="AD98" s="67">
        <f>AC98/3</f>
        <v>35699.3671162437</v>
      </c>
    </row>
    <row r="99" s="10" customFormat="1" spans="1:30">
      <c r="A99" s="28">
        <v>96</v>
      </c>
      <c r="B99" s="29" t="s">
        <v>431</v>
      </c>
      <c r="C99" s="29" t="s">
        <v>432</v>
      </c>
      <c r="D99" s="30" t="s">
        <v>452</v>
      </c>
      <c r="E99" s="31" t="s">
        <v>433</v>
      </c>
      <c r="F99" s="32" t="s">
        <v>453</v>
      </c>
      <c r="G99" s="33" t="s">
        <v>454</v>
      </c>
      <c r="H99" s="31" t="s">
        <v>455</v>
      </c>
      <c r="I99" s="47">
        <v>43243</v>
      </c>
      <c r="J99" s="48" t="s">
        <v>456</v>
      </c>
      <c r="K99" s="49">
        <v>43252</v>
      </c>
      <c r="L99" s="49">
        <v>44926</v>
      </c>
      <c r="M99" s="50"/>
      <c r="N99" s="50" t="s">
        <v>62</v>
      </c>
      <c r="O99" s="51">
        <f>Q99/7*1.03</f>
        <v>15714.2862285714</v>
      </c>
      <c r="P99" s="50" t="s">
        <v>457</v>
      </c>
      <c r="Q99" s="57">
        <f>R99</f>
        <v>106796.12</v>
      </c>
      <c r="R99" s="51">
        <v>106796.12</v>
      </c>
      <c r="S99" s="51"/>
      <c r="T99" s="51"/>
      <c r="U99" s="58">
        <f t="shared" si="20"/>
        <v>106796.12</v>
      </c>
      <c r="V99" s="50"/>
      <c r="W99" s="59">
        <v>203883.5</v>
      </c>
      <c r="X99" s="59">
        <v>210000</v>
      </c>
      <c r="Y99" s="59">
        <v>216300</v>
      </c>
      <c r="Z99" s="50">
        <v>222789.32</v>
      </c>
      <c r="AA99" s="50"/>
      <c r="AB99" s="50"/>
      <c r="AC99" s="67">
        <f t="shared" si="14"/>
        <v>759259.115933026</v>
      </c>
      <c r="AD99" s="68">
        <f>AC99/4</f>
        <v>189814.778983256</v>
      </c>
    </row>
    <row r="100" s="10" customFormat="1" spans="1:30">
      <c r="A100" s="28">
        <v>97</v>
      </c>
      <c r="B100" s="29" t="s">
        <v>431</v>
      </c>
      <c r="C100" s="29" t="s">
        <v>432</v>
      </c>
      <c r="D100" s="30" t="s">
        <v>458</v>
      </c>
      <c r="E100" s="31" t="s">
        <v>433</v>
      </c>
      <c r="F100" s="32" t="s">
        <v>459</v>
      </c>
      <c r="G100" s="33" t="s">
        <v>460</v>
      </c>
      <c r="H100" s="31" t="s">
        <v>461</v>
      </c>
      <c r="I100" s="47">
        <v>42654</v>
      </c>
      <c r="J100" s="48" t="s">
        <v>54</v>
      </c>
      <c r="K100" s="49">
        <v>42675</v>
      </c>
      <c r="L100" s="49">
        <v>44500</v>
      </c>
      <c r="M100" s="50" t="s">
        <v>49</v>
      </c>
      <c r="N100" s="50" t="s">
        <v>62</v>
      </c>
      <c r="O100" s="51">
        <f>R100/9</f>
        <v>19225.6733333333</v>
      </c>
      <c r="P100" s="50" t="s">
        <v>462</v>
      </c>
      <c r="Q100" s="57">
        <f>433.8*35*9</f>
        <v>136647</v>
      </c>
      <c r="R100" s="51">
        <v>173031.06</v>
      </c>
      <c r="S100" s="51">
        <v>0</v>
      </c>
      <c r="T100" s="51">
        <f>(35+38.5*2)*433.8</f>
        <v>48585.6</v>
      </c>
      <c r="U100" s="58">
        <f t="shared" si="20"/>
        <v>221616.66</v>
      </c>
      <c r="V100" s="50"/>
      <c r="W100" s="59">
        <f>38.5*433.8*12</f>
        <v>200415.6</v>
      </c>
      <c r="X100" s="59">
        <f>38.5*433.8*10+42.35*433.8*2</f>
        <v>203755.86</v>
      </c>
      <c r="Y100" s="59">
        <f>42.35*10*433.8</f>
        <v>183714.3</v>
      </c>
      <c r="Z100" s="50">
        <v>0</v>
      </c>
      <c r="AA100" s="50">
        <v>0</v>
      </c>
      <c r="AB100" s="50">
        <v>0</v>
      </c>
      <c r="AC100" s="67">
        <f t="shared" si="14"/>
        <v>536861.631867913</v>
      </c>
      <c r="AD100" s="67">
        <f t="shared" ref="AD100:AD101" si="23">AC100/3</f>
        <v>178953.877289304</v>
      </c>
    </row>
    <row r="101" s="10" customFormat="1" spans="1:30">
      <c r="A101" s="28">
        <v>98</v>
      </c>
      <c r="B101" s="29" t="s">
        <v>431</v>
      </c>
      <c r="C101" s="29" t="s">
        <v>432</v>
      </c>
      <c r="D101" s="30" t="s">
        <v>463</v>
      </c>
      <c r="E101" s="31" t="s">
        <v>433</v>
      </c>
      <c r="F101" s="32" t="s">
        <v>464</v>
      </c>
      <c r="G101" s="33" t="s">
        <v>465</v>
      </c>
      <c r="H101" s="31" t="s">
        <v>466</v>
      </c>
      <c r="I101" s="47">
        <v>43306</v>
      </c>
      <c r="J101" s="48" t="s">
        <v>213</v>
      </c>
      <c r="K101" s="49">
        <v>43321</v>
      </c>
      <c r="L101" s="49">
        <v>44781</v>
      </c>
      <c r="M101" s="50"/>
      <c r="N101" s="50" t="s">
        <v>62</v>
      </c>
      <c r="O101" s="51">
        <v>25206.77</v>
      </c>
      <c r="P101" s="50" t="s">
        <v>467</v>
      </c>
      <c r="Q101" s="57">
        <v>226860.93</v>
      </c>
      <c r="R101" s="51">
        <v>226860.93</v>
      </c>
      <c r="S101" s="51"/>
      <c r="T101" s="51">
        <v>75620.31</v>
      </c>
      <c r="U101" s="58">
        <f>T101+Q101</f>
        <v>302481.24</v>
      </c>
      <c r="V101" s="50"/>
      <c r="W101" s="59">
        <v>326679.74</v>
      </c>
      <c r="X101" s="59">
        <v>352814.12</v>
      </c>
      <c r="Y101" s="59">
        <v>381039.25</v>
      </c>
      <c r="Z101" s="50"/>
      <c r="AA101" s="50"/>
      <c r="AB101" s="50"/>
      <c r="AC101" s="67">
        <f t="shared" si="14"/>
        <v>964926.623270598</v>
      </c>
      <c r="AD101" s="67">
        <f t="shared" si="23"/>
        <v>321642.207756866</v>
      </c>
    </row>
    <row r="102" s="10" customFormat="1" spans="1:30">
      <c r="A102" s="28">
        <v>99</v>
      </c>
      <c r="B102" s="29" t="s">
        <v>468</v>
      </c>
      <c r="C102" s="29" t="s">
        <v>469</v>
      </c>
      <c r="D102" s="30" t="s">
        <v>470</v>
      </c>
      <c r="E102" s="31" t="s">
        <v>471</v>
      </c>
      <c r="F102" s="32" t="s">
        <v>472</v>
      </c>
      <c r="G102" s="33" t="s">
        <v>473</v>
      </c>
      <c r="H102" s="31" t="s">
        <v>474</v>
      </c>
      <c r="I102" s="47">
        <v>43165</v>
      </c>
      <c r="J102" s="48" t="s">
        <v>83</v>
      </c>
      <c r="K102" s="49">
        <v>43174</v>
      </c>
      <c r="L102" s="49">
        <v>43538</v>
      </c>
      <c r="M102" s="50"/>
      <c r="N102" s="50" t="s">
        <v>62</v>
      </c>
      <c r="O102" s="51">
        <v>23116.7</v>
      </c>
      <c r="P102" s="50"/>
      <c r="Q102" s="57">
        <f>O102*6</f>
        <v>138700.2</v>
      </c>
      <c r="R102" s="51">
        <f>O102/1.06*6</f>
        <v>130849.245283019</v>
      </c>
      <c r="S102" s="51"/>
      <c r="T102" s="51">
        <f>O102/1.06*3</f>
        <v>65424.6226415094</v>
      </c>
      <c r="U102" s="58">
        <f>R102+S102+T102</f>
        <v>196273.867924528</v>
      </c>
      <c r="V102" s="50"/>
      <c r="W102" s="59">
        <v>277400</v>
      </c>
      <c r="X102" s="59"/>
      <c r="Y102" s="59"/>
      <c r="Z102" s="50"/>
      <c r="AA102" s="50"/>
      <c r="AB102" s="50"/>
      <c r="AC102" s="67">
        <f t="shared" si="14"/>
        <v>264821.002386635</v>
      </c>
      <c r="AD102" s="67">
        <f>AC102/1</f>
        <v>264821.002386635</v>
      </c>
    </row>
    <row r="103" s="10" customFormat="1" spans="1:30">
      <c r="A103" s="28">
        <v>100</v>
      </c>
      <c r="B103" s="29" t="s">
        <v>468</v>
      </c>
      <c r="C103" s="29" t="s">
        <v>475</v>
      </c>
      <c r="D103" s="30" t="s">
        <v>476</v>
      </c>
      <c r="E103" s="31" t="s">
        <v>471</v>
      </c>
      <c r="F103" s="32" t="s">
        <v>477</v>
      </c>
      <c r="G103" s="33" t="s">
        <v>478</v>
      </c>
      <c r="H103" s="31" t="s">
        <v>479</v>
      </c>
      <c r="I103" s="47">
        <v>43294</v>
      </c>
      <c r="J103" s="48" t="s">
        <v>54</v>
      </c>
      <c r="K103" s="49">
        <v>43301</v>
      </c>
      <c r="L103" s="49">
        <v>45127</v>
      </c>
      <c r="M103" s="50"/>
      <c r="N103" s="50" t="s">
        <v>62</v>
      </c>
      <c r="O103" s="51">
        <v>16604.75</v>
      </c>
      <c r="P103" s="50"/>
      <c r="Q103" s="57">
        <f>O103*3</f>
        <v>49814.25</v>
      </c>
      <c r="R103" s="51">
        <v>49814.25</v>
      </c>
      <c r="S103" s="51"/>
      <c r="T103" s="51">
        <f>O103/1.015*3</f>
        <v>49078.078817734</v>
      </c>
      <c r="U103" s="58">
        <f>R103+S103+T103</f>
        <v>98892.328817734</v>
      </c>
      <c r="V103" s="50"/>
      <c r="W103" s="59">
        <v>199257</v>
      </c>
      <c r="X103" s="59">
        <v>219182</v>
      </c>
      <c r="Y103" s="59">
        <v>241101</v>
      </c>
      <c r="Z103" s="50">
        <v>265211</v>
      </c>
      <c r="AA103" s="50"/>
      <c r="AB103" s="50"/>
      <c r="AC103" s="67">
        <f t="shared" si="14"/>
        <v>820023.14578306</v>
      </c>
      <c r="AD103" s="68">
        <f>AC103/4</f>
        <v>205005.786445765</v>
      </c>
    </row>
    <row r="104" s="10" customFormat="1" spans="1:30">
      <c r="A104" s="28">
        <v>101</v>
      </c>
      <c r="B104" s="29" t="s">
        <v>480</v>
      </c>
      <c r="C104" s="29" t="s">
        <v>481</v>
      </c>
      <c r="D104" s="30" t="s">
        <v>482</v>
      </c>
      <c r="E104" s="31" t="s">
        <v>483</v>
      </c>
      <c r="F104" s="32" t="s">
        <v>483</v>
      </c>
      <c r="G104" s="33" t="s">
        <v>484</v>
      </c>
      <c r="H104" s="31" t="s">
        <v>485</v>
      </c>
      <c r="I104" s="47">
        <v>41840</v>
      </c>
      <c r="J104" s="48" t="s">
        <v>54</v>
      </c>
      <c r="K104" s="49">
        <v>41841</v>
      </c>
      <c r="L104" s="49">
        <v>43666</v>
      </c>
      <c r="M104" s="50"/>
      <c r="N104" s="50" t="s">
        <v>62</v>
      </c>
      <c r="O104" s="51">
        <f>2.7*365*1495.52/12</f>
        <v>122819.58</v>
      </c>
      <c r="P104" s="50"/>
      <c r="Q104" s="57">
        <f>2.7*1495.52*275</f>
        <v>1110423.6</v>
      </c>
      <c r="R104" s="51">
        <v>696092.1</v>
      </c>
      <c r="S104" s="51">
        <v>0</v>
      </c>
      <c r="T104" s="51">
        <f>(125175.02*4+121137.12*2)/1.05</f>
        <v>707594.590476191</v>
      </c>
      <c r="U104" s="58">
        <f t="shared" ref="U104:U107" si="24">R104+S104+T104</f>
        <v>1403686.69047619</v>
      </c>
      <c r="V104" s="50" t="s">
        <v>486</v>
      </c>
      <c r="W104" s="59">
        <f>2.7*1495.52*203</f>
        <v>819694.512</v>
      </c>
      <c r="X104" s="59"/>
      <c r="Y104" s="59"/>
      <c r="Z104" s="50"/>
      <c r="AA104" s="50"/>
      <c r="AB104" s="50"/>
      <c r="AC104" s="67">
        <f t="shared" si="14"/>
        <v>782524.593794749</v>
      </c>
      <c r="AD104" s="67">
        <f>AC104/1</f>
        <v>782524.593794749</v>
      </c>
    </row>
    <row r="105" s="10" customFormat="1" spans="1:30">
      <c r="A105" s="28">
        <v>102</v>
      </c>
      <c r="B105" s="29" t="s">
        <v>480</v>
      </c>
      <c r="C105" s="29" t="s">
        <v>481</v>
      </c>
      <c r="D105" s="30" t="s">
        <v>487</v>
      </c>
      <c r="E105" s="31" t="s">
        <v>483</v>
      </c>
      <c r="F105" s="32" t="s">
        <v>483</v>
      </c>
      <c r="G105" s="33" t="s">
        <v>488</v>
      </c>
      <c r="H105" s="31" t="s">
        <v>489</v>
      </c>
      <c r="I105" s="47">
        <v>43006</v>
      </c>
      <c r="J105" s="48" t="s">
        <v>69</v>
      </c>
      <c r="K105" s="49">
        <v>43009</v>
      </c>
      <c r="L105" s="49">
        <v>44104</v>
      </c>
      <c r="M105" s="50"/>
      <c r="N105" s="50" t="s">
        <v>62</v>
      </c>
      <c r="O105" s="51">
        <v>14500</v>
      </c>
      <c r="P105" s="50"/>
      <c r="Q105" s="57">
        <f>O105*9</f>
        <v>130500</v>
      </c>
      <c r="R105" s="51">
        <v>87000</v>
      </c>
      <c r="S105" s="51">
        <v>0</v>
      </c>
      <c r="T105" s="51">
        <f>O105*3</f>
        <v>43500</v>
      </c>
      <c r="U105" s="58">
        <f t="shared" si="24"/>
        <v>130500</v>
      </c>
      <c r="V105" s="50" t="s">
        <v>490</v>
      </c>
      <c r="W105" s="59">
        <f>O105*12</f>
        <v>174000</v>
      </c>
      <c r="X105" s="59">
        <f>O105*9</f>
        <v>130500</v>
      </c>
      <c r="Y105" s="59"/>
      <c r="Z105" s="50"/>
      <c r="AA105" s="50"/>
      <c r="AB105" s="50"/>
      <c r="AC105" s="67">
        <f t="shared" si="14"/>
        <v>285042.805634509</v>
      </c>
      <c r="AD105" s="67">
        <f>AC105/2</f>
        <v>142521.402817254</v>
      </c>
    </row>
    <row r="106" s="10" customFormat="1" spans="1:30">
      <c r="A106" s="28">
        <v>103</v>
      </c>
      <c r="B106" s="29" t="s">
        <v>480</v>
      </c>
      <c r="C106" s="29" t="s">
        <v>481</v>
      </c>
      <c r="D106" s="30" t="s">
        <v>491</v>
      </c>
      <c r="E106" s="31" t="s">
        <v>483</v>
      </c>
      <c r="F106" s="32" t="s">
        <v>483</v>
      </c>
      <c r="G106" s="33" t="s">
        <v>492</v>
      </c>
      <c r="H106" s="31" t="s">
        <v>493</v>
      </c>
      <c r="I106" s="47">
        <v>43079</v>
      </c>
      <c r="J106" s="48" t="s">
        <v>494</v>
      </c>
      <c r="K106" s="49">
        <v>43079</v>
      </c>
      <c r="L106" s="49">
        <v>43708</v>
      </c>
      <c r="M106" s="50"/>
      <c r="N106" s="50" t="s">
        <v>62</v>
      </c>
      <c r="O106" s="51">
        <v>19250</v>
      </c>
      <c r="P106" s="50"/>
      <c r="Q106" s="57">
        <f>O106*9</f>
        <v>173250</v>
      </c>
      <c r="R106" s="51">
        <v>96250</v>
      </c>
      <c r="S106" s="51">
        <v>0</v>
      </c>
      <c r="T106" s="51">
        <f>O106*7</f>
        <v>134750</v>
      </c>
      <c r="U106" s="58">
        <f t="shared" si="24"/>
        <v>231000</v>
      </c>
      <c r="V106" s="50" t="s">
        <v>495</v>
      </c>
      <c r="W106" s="59">
        <f>O106*8</f>
        <v>154000</v>
      </c>
      <c r="X106" s="59"/>
      <c r="Y106" s="59"/>
      <c r="Z106" s="50"/>
      <c r="AA106" s="50"/>
      <c r="AB106" s="50"/>
      <c r="AC106" s="67">
        <f t="shared" si="14"/>
        <v>147016.706443914</v>
      </c>
      <c r="AD106" s="67">
        <f>AC106/1</f>
        <v>147016.706443914</v>
      </c>
    </row>
    <row r="107" s="10" customFormat="1" spans="1:30">
      <c r="A107" s="28">
        <v>104</v>
      </c>
      <c r="B107" s="29" t="s">
        <v>496</v>
      </c>
      <c r="C107" s="29" t="s">
        <v>497</v>
      </c>
      <c r="D107" s="30" t="s">
        <v>498</v>
      </c>
      <c r="E107" s="31" t="s">
        <v>41</v>
      </c>
      <c r="F107" s="32" t="s">
        <v>42</v>
      </c>
      <c r="G107" s="33" t="s">
        <v>499</v>
      </c>
      <c r="H107" s="31" t="s">
        <v>500</v>
      </c>
      <c r="I107" s="47">
        <v>42370</v>
      </c>
      <c r="J107" s="48" t="s">
        <v>69</v>
      </c>
      <c r="K107" s="49">
        <v>42461</v>
      </c>
      <c r="L107" s="49">
        <v>43830</v>
      </c>
      <c r="M107" s="50" t="s">
        <v>62</v>
      </c>
      <c r="N107" s="50" t="s">
        <v>501</v>
      </c>
      <c r="O107" s="51">
        <v>190150.42</v>
      </c>
      <c r="P107" s="50" t="s">
        <v>502</v>
      </c>
      <c r="Q107" s="57">
        <v>1886785.02</v>
      </c>
      <c r="R107" s="51">
        <f>Q107</f>
        <v>1886785.02</v>
      </c>
      <c r="S107" s="51">
        <v>0</v>
      </c>
      <c r="T107" s="51">
        <v>628928.34</v>
      </c>
      <c r="U107" s="58">
        <f t="shared" si="24"/>
        <v>2515713.36</v>
      </c>
      <c r="V107" s="50" t="s">
        <v>62</v>
      </c>
      <c r="W107" s="59">
        <f>U107*1.05</f>
        <v>2641499.028</v>
      </c>
      <c r="X107" s="59">
        <f t="shared" ref="X107:AB108" si="25">W107*1.05</f>
        <v>2773573.9794</v>
      </c>
      <c r="Y107" s="59">
        <f t="shared" si="25"/>
        <v>2912252.67837</v>
      </c>
      <c r="Z107" s="50">
        <f t="shared" si="25"/>
        <v>3057865.3122885</v>
      </c>
      <c r="AA107" s="50">
        <f t="shared" si="25"/>
        <v>3210758.57790293</v>
      </c>
      <c r="AB107" s="50">
        <f t="shared" si="25"/>
        <v>3371296.50679807</v>
      </c>
      <c r="AC107" s="67">
        <f t="shared" si="14"/>
        <v>12668915.24232</v>
      </c>
      <c r="AD107" s="67">
        <f t="shared" ref="AD107:AD110" si="26">AC107/5</f>
        <v>2533783.04846401</v>
      </c>
    </row>
    <row r="108" s="10" customFormat="1" spans="1:30">
      <c r="A108" s="28">
        <v>105</v>
      </c>
      <c r="B108" s="29" t="s">
        <v>496</v>
      </c>
      <c r="C108" s="29" t="s">
        <v>503</v>
      </c>
      <c r="D108" s="30" t="s">
        <v>504</v>
      </c>
      <c r="E108" s="31" t="s">
        <v>41</v>
      </c>
      <c r="F108" s="32" t="s">
        <v>42</v>
      </c>
      <c r="G108" s="33" t="s">
        <v>505</v>
      </c>
      <c r="H108" s="31" t="s">
        <v>506</v>
      </c>
      <c r="I108" s="47">
        <v>42480</v>
      </c>
      <c r="J108" s="48" t="s">
        <v>69</v>
      </c>
      <c r="K108" s="49">
        <v>42491</v>
      </c>
      <c r="L108" s="49">
        <v>43585</v>
      </c>
      <c r="M108" s="50" t="s">
        <v>62</v>
      </c>
      <c r="N108" s="50" t="s">
        <v>62</v>
      </c>
      <c r="O108" s="51">
        <v>18000</v>
      </c>
      <c r="P108" s="50" t="s">
        <v>502</v>
      </c>
      <c r="Q108" s="57">
        <v>186300</v>
      </c>
      <c r="R108" s="51">
        <f>Q108</f>
        <v>186300</v>
      </c>
      <c r="S108" s="51">
        <v>0</v>
      </c>
      <c r="T108" s="51">
        <v>62100</v>
      </c>
      <c r="U108" s="58">
        <f t="shared" ref="U108:U112" si="27">R108+S108+T108</f>
        <v>248400</v>
      </c>
      <c r="V108" s="50" t="s">
        <v>62</v>
      </c>
      <c r="W108" s="59">
        <f>U108*1.05</f>
        <v>260820</v>
      </c>
      <c r="X108" s="59">
        <f t="shared" si="25"/>
        <v>273861</v>
      </c>
      <c r="Y108" s="59">
        <f t="shared" si="25"/>
        <v>287554.05</v>
      </c>
      <c r="Z108" s="50">
        <f t="shared" si="25"/>
        <v>301931.7525</v>
      </c>
      <c r="AA108" s="50">
        <f t="shared" si="25"/>
        <v>317028.340125</v>
      </c>
      <c r="AB108" s="50">
        <f t="shared" si="25"/>
        <v>332879.75713125</v>
      </c>
      <c r="AC108" s="67">
        <f t="shared" si="14"/>
        <v>1250920.94998943</v>
      </c>
      <c r="AD108" s="67">
        <f t="shared" si="26"/>
        <v>250184.189997886</v>
      </c>
    </row>
    <row r="109" s="10" customFormat="1" spans="1:30">
      <c r="A109" s="28">
        <v>106</v>
      </c>
      <c r="B109" s="29" t="s">
        <v>496</v>
      </c>
      <c r="C109" s="29" t="s">
        <v>507</v>
      </c>
      <c r="D109" s="30" t="s">
        <v>508</v>
      </c>
      <c r="E109" s="31" t="s">
        <v>41</v>
      </c>
      <c r="F109" s="32" t="s">
        <v>42</v>
      </c>
      <c r="G109" s="33" t="s">
        <v>509</v>
      </c>
      <c r="H109" s="31" t="s">
        <v>510</v>
      </c>
      <c r="I109" s="47">
        <v>42962</v>
      </c>
      <c r="J109" s="48" t="s">
        <v>69</v>
      </c>
      <c r="K109" s="49">
        <v>42968</v>
      </c>
      <c r="L109" s="49">
        <v>44063</v>
      </c>
      <c r="M109" s="50" t="s">
        <v>62</v>
      </c>
      <c r="N109" s="50" t="s">
        <v>62</v>
      </c>
      <c r="O109" s="51">
        <v>22256</v>
      </c>
      <c r="P109" s="50" t="s">
        <v>62</v>
      </c>
      <c r="Q109" s="57">
        <v>200304</v>
      </c>
      <c r="R109" s="51">
        <f>Q109</f>
        <v>200304</v>
      </c>
      <c r="S109" s="51">
        <v>0</v>
      </c>
      <c r="T109" s="51">
        <v>66768</v>
      </c>
      <c r="U109" s="58">
        <f t="shared" si="27"/>
        <v>267072</v>
      </c>
      <c r="V109" s="50" t="s">
        <v>62</v>
      </c>
      <c r="W109" s="59">
        <f>U109</f>
        <v>267072</v>
      </c>
      <c r="X109" s="59">
        <f t="shared" ref="X109:AB110" si="28">W109</f>
        <v>267072</v>
      </c>
      <c r="Y109" s="59">
        <f t="shared" si="28"/>
        <v>267072</v>
      </c>
      <c r="Z109" s="50">
        <f t="shared" si="28"/>
        <v>267072</v>
      </c>
      <c r="AA109" s="50">
        <f t="shared" si="28"/>
        <v>267072</v>
      </c>
      <c r="AB109" s="50">
        <f t="shared" si="28"/>
        <v>267072</v>
      </c>
      <c r="AC109" s="67">
        <f t="shared" si="14"/>
        <v>1164316.64886568</v>
      </c>
      <c r="AD109" s="67">
        <f t="shared" si="26"/>
        <v>232863.329773136</v>
      </c>
    </row>
    <row r="110" s="10" customFormat="1" spans="1:30">
      <c r="A110" s="28">
        <v>107</v>
      </c>
      <c r="B110" s="29" t="s">
        <v>496</v>
      </c>
      <c r="C110" s="29" t="s">
        <v>511</v>
      </c>
      <c r="D110" s="30" t="s">
        <v>512</v>
      </c>
      <c r="E110" s="31" t="s">
        <v>41</v>
      </c>
      <c r="F110" s="32" t="s">
        <v>42</v>
      </c>
      <c r="G110" s="33" t="s">
        <v>513</v>
      </c>
      <c r="H110" s="31" t="s">
        <v>514</v>
      </c>
      <c r="I110" s="47">
        <v>43313</v>
      </c>
      <c r="J110" s="48" t="s">
        <v>83</v>
      </c>
      <c r="K110" s="49">
        <v>43313</v>
      </c>
      <c r="L110" s="49">
        <v>43677</v>
      </c>
      <c r="M110" s="50" t="s">
        <v>62</v>
      </c>
      <c r="N110" s="50" t="s">
        <v>62</v>
      </c>
      <c r="O110" s="51">
        <v>19832</v>
      </c>
      <c r="P110" s="50" t="s">
        <v>62</v>
      </c>
      <c r="Q110" s="57">
        <v>178488</v>
      </c>
      <c r="R110" s="51">
        <f>Q110</f>
        <v>178488</v>
      </c>
      <c r="S110" s="51">
        <v>0</v>
      </c>
      <c r="T110" s="51">
        <v>59496</v>
      </c>
      <c r="U110" s="58">
        <f t="shared" si="27"/>
        <v>237984</v>
      </c>
      <c r="V110" s="50" t="s">
        <v>62</v>
      </c>
      <c r="W110" s="59">
        <f>U110</f>
        <v>237984</v>
      </c>
      <c r="X110" s="59">
        <f t="shared" si="28"/>
        <v>237984</v>
      </c>
      <c r="Y110" s="59">
        <f t="shared" si="28"/>
        <v>237984</v>
      </c>
      <c r="Z110" s="50">
        <f t="shared" si="28"/>
        <v>237984</v>
      </c>
      <c r="AA110" s="50">
        <f t="shared" si="28"/>
        <v>237984</v>
      </c>
      <c r="AB110" s="50">
        <f t="shared" si="28"/>
        <v>237984</v>
      </c>
      <c r="AC110" s="67">
        <f t="shared" si="14"/>
        <v>1037505.74138678</v>
      </c>
      <c r="AD110" s="67">
        <f t="shared" si="26"/>
        <v>207501.148277356</v>
      </c>
    </row>
    <row r="111" s="10" customFormat="1" spans="1:29">
      <c r="A111" s="28">
        <v>108</v>
      </c>
      <c r="B111" s="29" t="s">
        <v>496</v>
      </c>
      <c r="C111" s="29" t="s">
        <v>515</v>
      </c>
      <c r="D111" s="30" t="s">
        <v>516</v>
      </c>
      <c r="E111" s="31" t="s">
        <v>41</v>
      </c>
      <c r="F111" s="32" t="s">
        <v>42</v>
      </c>
      <c r="G111" s="33" t="s">
        <v>517</v>
      </c>
      <c r="H111" s="31" t="s">
        <v>518</v>
      </c>
      <c r="I111" s="47">
        <v>43084</v>
      </c>
      <c r="J111" s="48" t="s">
        <v>120</v>
      </c>
      <c r="K111" s="49">
        <v>43084</v>
      </c>
      <c r="L111" s="49">
        <v>43813</v>
      </c>
      <c r="M111" s="50" t="s">
        <v>519</v>
      </c>
      <c r="N111" s="50" t="s">
        <v>62</v>
      </c>
      <c r="O111" s="51">
        <v>10000</v>
      </c>
      <c r="P111" s="50" t="s">
        <v>62</v>
      </c>
      <c r="Q111" s="57">
        <v>90000</v>
      </c>
      <c r="R111" s="51">
        <v>90000</v>
      </c>
      <c r="S111" s="51">
        <v>0</v>
      </c>
      <c r="T111" s="51">
        <v>0</v>
      </c>
      <c r="U111" s="58">
        <f t="shared" si="27"/>
        <v>90000</v>
      </c>
      <c r="V111" s="50" t="s">
        <v>62</v>
      </c>
      <c r="W111" s="59">
        <v>0</v>
      </c>
      <c r="X111" s="59">
        <v>0</v>
      </c>
      <c r="Y111" s="59">
        <v>0</v>
      </c>
      <c r="Z111" s="50">
        <v>0</v>
      </c>
      <c r="AA111" s="50">
        <v>0</v>
      </c>
      <c r="AB111" s="50">
        <v>0</v>
      </c>
      <c r="AC111" s="67">
        <f t="shared" si="14"/>
        <v>0</v>
      </c>
    </row>
    <row r="112" s="10" customFormat="1" spans="1:30">
      <c r="A112" s="28">
        <v>109</v>
      </c>
      <c r="B112" s="29" t="s">
        <v>520</v>
      </c>
      <c r="C112" s="29" t="s">
        <v>521</v>
      </c>
      <c r="D112" s="30"/>
      <c r="E112" s="31" t="s">
        <v>522</v>
      </c>
      <c r="F112" s="32" t="s">
        <v>523</v>
      </c>
      <c r="G112" s="33" t="s">
        <v>524</v>
      </c>
      <c r="H112" s="31" t="s">
        <v>525</v>
      </c>
      <c r="I112" s="47">
        <v>42894</v>
      </c>
      <c r="J112" s="48" t="s">
        <v>69</v>
      </c>
      <c r="K112" s="49">
        <v>42924</v>
      </c>
      <c r="L112" s="49">
        <v>44020</v>
      </c>
      <c r="M112" s="50"/>
      <c r="N112" s="50" t="s">
        <v>62</v>
      </c>
      <c r="O112" s="51">
        <f>566468.1/12+514971/12</f>
        <v>90119.925</v>
      </c>
      <c r="P112" s="50"/>
      <c r="Q112" s="57">
        <f t="shared" ref="Q112:Q125" si="29">O112*9</f>
        <v>811079.325</v>
      </c>
      <c r="R112" s="51">
        <v>577558.84</v>
      </c>
      <c r="S112" s="51">
        <v>185761.81</v>
      </c>
      <c r="T112" s="51">
        <f>O112/1.06*3</f>
        <v>255056.391509434</v>
      </c>
      <c r="U112" s="58">
        <f t="shared" si="27"/>
        <v>1018377.04150943</v>
      </c>
      <c r="V112" s="50"/>
      <c r="W112" s="59">
        <f t="shared" ref="W112:W125" si="30">O112*12</f>
        <v>1081439.1</v>
      </c>
      <c r="X112" s="59"/>
      <c r="Y112" s="59"/>
      <c r="Z112" s="50"/>
      <c r="AA112" s="50"/>
      <c r="AB112" s="50"/>
      <c r="AC112" s="67">
        <f t="shared" si="14"/>
        <v>1032400.09546539</v>
      </c>
      <c r="AD112" s="67">
        <f t="shared" ref="AD112:AD125" si="31">AC112/1</f>
        <v>1032400.09546539</v>
      </c>
    </row>
    <row r="113" s="10" customFormat="1" spans="1:30">
      <c r="A113" s="28">
        <v>110</v>
      </c>
      <c r="B113" s="29" t="s">
        <v>520</v>
      </c>
      <c r="C113" s="29" t="s">
        <v>521</v>
      </c>
      <c r="D113" s="30"/>
      <c r="E113" s="31" t="s">
        <v>522</v>
      </c>
      <c r="F113" s="32"/>
      <c r="G113" s="33"/>
      <c r="H113" s="31"/>
      <c r="I113" s="47">
        <v>42894</v>
      </c>
      <c r="J113" s="48" t="s">
        <v>69</v>
      </c>
      <c r="K113" s="49">
        <v>42924</v>
      </c>
      <c r="L113" s="49">
        <v>44020</v>
      </c>
      <c r="M113" s="50"/>
      <c r="N113" s="50" t="s">
        <v>62</v>
      </c>
      <c r="O113" s="51">
        <f>46800/12</f>
        <v>3900</v>
      </c>
      <c r="P113" s="50"/>
      <c r="Q113" s="57">
        <f t="shared" si="29"/>
        <v>35100</v>
      </c>
      <c r="R113" s="51"/>
      <c r="S113" s="51">
        <f>33670.58</f>
        <v>33670.58</v>
      </c>
      <c r="T113" s="51">
        <f>3714.29*3</f>
        <v>11142.87</v>
      </c>
      <c r="U113" s="58">
        <f t="shared" ref="U113:U126" si="32">R113+S113+T113</f>
        <v>44813.45</v>
      </c>
      <c r="V113" s="50"/>
      <c r="W113" s="59">
        <f t="shared" si="30"/>
        <v>46800</v>
      </c>
      <c r="X113" s="59"/>
      <c r="Y113" s="59"/>
      <c r="Z113" s="50"/>
      <c r="AA113" s="50"/>
      <c r="AB113" s="50"/>
      <c r="AC113" s="67">
        <f t="shared" si="14"/>
        <v>44677.8042959427</v>
      </c>
      <c r="AD113" s="67">
        <f t="shared" si="31"/>
        <v>44677.8042959427</v>
      </c>
    </row>
    <row r="114" s="10" customFormat="1" spans="1:30">
      <c r="A114" s="28">
        <v>111</v>
      </c>
      <c r="B114" s="29" t="s">
        <v>520</v>
      </c>
      <c r="C114" s="29" t="s">
        <v>526</v>
      </c>
      <c r="D114" s="30"/>
      <c r="E114" s="31" t="s">
        <v>522</v>
      </c>
      <c r="F114" s="32" t="s">
        <v>527</v>
      </c>
      <c r="G114" s="33" t="s">
        <v>528</v>
      </c>
      <c r="H114" s="31" t="s">
        <v>529</v>
      </c>
      <c r="I114" s="47">
        <v>42739</v>
      </c>
      <c r="J114" s="48" t="s">
        <v>69</v>
      </c>
      <c r="K114" s="49">
        <v>42522</v>
      </c>
      <c r="L114" s="49">
        <v>43616</v>
      </c>
      <c r="M114" s="50"/>
      <c r="N114" s="50" t="s">
        <v>62</v>
      </c>
      <c r="O114" s="51">
        <f>69660/5</f>
        <v>13932</v>
      </c>
      <c r="P114" s="50"/>
      <c r="Q114" s="57">
        <f t="shared" si="29"/>
        <v>125388</v>
      </c>
      <c r="R114" s="51">
        <v>66380.68</v>
      </c>
      <c r="S114" s="51">
        <v>0</v>
      </c>
      <c r="T114" s="51">
        <f>O114/1.06*3</f>
        <v>39430.1886792453</v>
      </c>
      <c r="U114" s="58">
        <f t="shared" si="32"/>
        <v>105810.868679245</v>
      </c>
      <c r="V114" s="50"/>
      <c r="W114" s="59">
        <f t="shared" si="30"/>
        <v>167184</v>
      </c>
      <c r="X114" s="59"/>
      <c r="Y114" s="59"/>
      <c r="Z114" s="50"/>
      <c r="AA114" s="50"/>
      <c r="AB114" s="50"/>
      <c r="AC114" s="67">
        <f t="shared" si="14"/>
        <v>159602.863961814</v>
      </c>
      <c r="AD114" s="67">
        <f t="shared" si="31"/>
        <v>159602.863961814</v>
      </c>
    </row>
    <row r="115" s="10" customFormat="1" spans="1:30">
      <c r="A115" s="28">
        <v>112</v>
      </c>
      <c r="B115" s="29" t="s">
        <v>520</v>
      </c>
      <c r="C115" s="29" t="s">
        <v>530</v>
      </c>
      <c r="D115" s="30"/>
      <c r="E115" s="31" t="s">
        <v>522</v>
      </c>
      <c r="F115" s="32" t="s">
        <v>531</v>
      </c>
      <c r="G115" s="33" t="s">
        <v>532</v>
      </c>
      <c r="H115" s="31" t="s">
        <v>533</v>
      </c>
      <c r="I115" s="47">
        <v>42644</v>
      </c>
      <c r="J115" s="48" t="s">
        <v>54</v>
      </c>
      <c r="K115" s="49">
        <v>42644</v>
      </c>
      <c r="L115" s="49">
        <v>44469</v>
      </c>
      <c r="M115" s="50"/>
      <c r="N115" s="50" t="s">
        <v>62</v>
      </c>
      <c r="O115" s="51">
        <f>112841.23/12</f>
        <v>9403.43583333333</v>
      </c>
      <c r="P115" s="50"/>
      <c r="Q115" s="57">
        <f t="shared" si="29"/>
        <v>84630.9225</v>
      </c>
      <c r="R115" s="51">
        <v>82241.67</v>
      </c>
      <c r="S115" s="51">
        <v>0</v>
      </c>
      <c r="T115" s="51">
        <f>9128.1*3</f>
        <v>27384.3</v>
      </c>
      <c r="U115" s="58">
        <f t="shared" si="32"/>
        <v>109625.97</v>
      </c>
      <c r="V115" s="50"/>
      <c r="W115" s="59">
        <f t="shared" si="30"/>
        <v>112841.23</v>
      </c>
      <c r="X115" s="59"/>
      <c r="Y115" s="59"/>
      <c r="Z115" s="50"/>
      <c r="AA115" s="50"/>
      <c r="AB115" s="50"/>
      <c r="AC115" s="67">
        <f t="shared" si="14"/>
        <v>107724.324582339</v>
      </c>
      <c r="AD115" s="67">
        <f t="shared" si="31"/>
        <v>107724.324582339</v>
      </c>
    </row>
    <row r="116" s="10" customFormat="1" spans="1:30">
      <c r="A116" s="28">
        <v>113</v>
      </c>
      <c r="B116" s="29" t="s">
        <v>520</v>
      </c>
      <c r="C116" s="29" t="s">
        <v>534</v>
      </c>
      <c r="D116" s="30"/>
      <c r="E116" s="31" t="s">
        <v>522</v>
      </c>
      <c r="F116" s="32" t="s">
        <v>535</v>
      </c>
      <c r="G116" s="33" t="s">
        <v>536</v>
      </c>
      <c r="H116" s="31" t="s">
        <v>537</v>
      </c>
      <c r="I116" s="47">
        <v>42391</v>
      </c>
      <c r="J116" s="48" t="s">
        <v>54</v>
      </c>
      <c r="K116" s="49">
        <v>42391</v>
      </c>
      <c r="L116" s="49">
        <v>44551</v>
      </c>
      <c r="M116" s="50"/>
      <c r="N116" s="50" t="s">
        <v>62</v>
      </c>
      <c r="O116" s="51">
        <f>167400/12</f>
        <v>13950</v>
      </c>
      <c r="P116" s="50"/>
      <c r="Q116" s="57">
        <f t="shared" si="29"/>
        <v>125550</v>
      </c>
      <c r="R116" s="51">
        <v>125550</v>
      </c>
      <c r="S116" s="51">
        <v>0</v>
      </c>
      <c r="T116" s="51">
        <f>13950*3</f>
        <v>41850</v>
      </c>
      <c r="U116" s="58">
        <f t="shared" si="32"/>
        <v>167400</v>
      </c>
      <c r="V116" s="50"/>
      <c r="W116" s="59">
        <f t="shared" si="30"/>
        <v>167400</v>
      </c>
      <c r="X116" s="59"/>
      <c r="Y116" s="59"/>
      <c r="Z116" s="50"/>
      <c r="AA116" s="50"/>
      <c r="AB116" s="50"/>
      <c r="AC116" s="67">
        <f t="shared" si="14"/>
        <v>159809.06921241</v>
      </c>
      <c r="AD116" s="67">
        <f t="shared" si="31"/>
        <v>159809.06921241</v>
      </c>
    </row>
    <row r="117" s="10" customFormat="1" spans="1:30">
      <c r="A117" s="28">
        <v>114</v>
      </c>
      <c r="B117" s="29" t="s">
        <v>520</v>
      </c>
      <c r="C117" s="29" t="s">
        <v>538</v>
      </c>
      <c r="D117" s="30"/>
      <c r="E117" s="31" t="s">
        <v>522</v>
      </c>
      <c r="F117" s="32" t="s">
        <v>539</v>
      </c>
      <c r="G117" s="33" t="s">
        <v>540</v>
      </c>
      <c r="H117" s="31" t="s">
        <v>541</v>
      </c>
      <c r="I117" s="47">
        <v>41944</v>
      </c>
      <c r="J117" s="48" t="s">
        <v>54</v>
      </c>
      <c r="K117" s="49">
        <v>41953</v>
      </c>
      <c r="L117" s="49">
        <v>43830</v>
      </c>
      <c r="M117" s="50"/>
      <c r="N117" s="50" t="s">
        <v>62</v>
      </c>
      <c r="O117" s="51">
        <f>90000/12</f>
        <v>7500</v>
      </c>
      <c r="P117" s="50"/>
      <c r="Q117" s="57">
        <f t="shared" si="29"/>
        <v>67500</v>
      </c>
      <c r="R117" s="51">
        <v>64285.74</v>
      </c>
      <c r="S117" s="51">
        <v>0</v>
      </c>
      <c r="T117" s="51">
        <f>7142.86*3</f>
        <v>21428.58</v>
      </c>
      <c r="U117" s="58">
        <f t="shared" si="32"/>
        <v>85714.32</v>
      </c>
      <c r="V117" s="50"/>
      <c r="W117" s="59">
        <f t="shared" si="30"/>
        <v>90000</v>
      </c>
      <c r="X117" s="59"/>
      <c r="Y117" s="59"/>
      <c r="Z117" s="50"/>
      <c r="AA117" s="50"/>
      <c r="AB117" s="50"/>
      <c r="AC117" s="67">
        <f t="shared" si="14"/>
        <v>85918.8544152745</v>
      </c>
      <c r="AD117" s="67">
        <f t="shared" si="31"/>
        <v>85918.8544152745</v>
      </c>
    </row>
    <row r="118" s="10" customFormat="1" spans="1:30">
      <c r="A118" s="28">
        <v>115</v>
      </c>
      <c r="B118" s="29" t="s">
        <v>520</v>
      </c>
      <c r="C118" s="29" t="s">
        <v>542</v>
      </c>
      <c r="D118" s="30"/>
      <c r="E118" s="31" t="s">
        <v>522</v>
      </c>
      <c r="F118" s="32" t="s">
        <v>543</v>
      </c>
      <c r="G118" s="33" t="s">
        <v>544</v>
      </c>
      <c r="H118" s="31" t="s">
        <v>545</v>
      </c>
      <c r="I118" s="47">
        <v>43060</v>
      </c>
      <c r="J118" s="48" t="s">
        <v>69</v>
      </c>
      <c r="K118" s="49">
        <v>43070</v>
      </c>
      <c r="L118" s="49">
        <v>44165</v>
      </c>
      <c r="M118" s="50"/>
      <c r="N118" s="50" t="s">
        <v>62</v>
      </c>
      <c r="O118" s="51">
        <f>115000/12</f>
        <v>9583.33333333333</v>
      </c>
      <c r="P118" s="50"/>
      <c r="Q118" s="57">
        <f t="shared" si="29"/>
        <v>86250</v>
      </c>
      <c r="R118" s="51">
        <v>85048.41</v>
      </c>
      <c r="S118" s="51">
        <v>0</v>
      </c>
      <c r="T118" s="51">
        <f>9446.433</f>
        <v>9446.433</v>
      </c>
      <c r="U118" s="58">
        <f t="shared" si="32"/>
        <v>94494.843</v>
      </c>
      <c r="V118" s="50"/>
      <c r="W118" s="59">
        <f t="shared" si="30"/>
        <v>115000</v>
      </c>
      <c r="X118" s="59"/>
      <c r="Y118" s="59"/>
      <c r="Z118" s="50"/>
      <c r="AA118" s="50"/>
      <c r="AB118" s="50"/>
      <c r="AC118" s="67">
        <f t="shared" si="14"/>
        <v>109785.202863962</v>
      </c>
      <c r="AD118" s="67">
        <f t="shared" si="31"/>
        <v>109785.202863962</v>
      </c>
    </row>
    <row r="119" s="10" customFormat="1" spans="1:30">
      <c r="A119" s="28">
        <v>116</v>
      </c>
      <c r="B119" s="29" t="s">
        <v>520</v>
      </c>
      <c r="C119" s="29" t="s">
        <v>546</v>
      </c>
      <c r="D119" s="30"/>
      <c r="E119" s="31" t="s">
        <v>522</v>
      </c>
      <c r="F119" s="32" t="s">
        <v>547</v>
      </c>
      <c r="G119" s="33" t="s">
        <v>548</v>
      </c>
      <c r="H119" s="31" t="s">
        <v>549</v>
      </c>
      <c r="I119" s="47">
        <v>42303</v>
      </c>
      <c r="J119" s="48" t="s">
        <v>69</v>
      </c>
      <c r="K119" s="49">
        <v>42309</v>
      </c>
      <c r="L119" s="49">
        <v>43465</v>
      </c>
      <c r="M119" s="50"/>
      <c r="N119" s="50" t="s">
        <v>62</v>
      </c>
      <c r="O119" s="51">
        <f>75500/12</f>
        <v>6291.66666666667</v>
      </c>
      <c r="P119" s="50"/>
      <c r="Q119" s="57">
        <f t="shared" si="29"/>
        <v>56625</v>
      </c>
      <c r="R119" s="51">
        <v>0</v>
      </c>
      <c r="S119" s="51">
        <v>0</v>
      </c>
      <c r="T119" s="51">
        <f>O119/1.06*12</f>
        <v>71226.4150943396</v>
      </c>
      <c r="U119" s="58">
        <f t="shared" si="32"/>
        <v>71226.4150943396</v>
      </c>
      <c r="V119" s="50"/>
      <c r="W119" s="59">
        <f t="shared" si="30"/>
        <v>75500</v>
      </c>
      <c r="X119" s="59"/>
      <c r="Y119" s="59"/>
      <c r="Z119" s="50"/>
      <c r="AA119" s="50"/>
      <c r="AB119" s="50"/>
      <c r="AC119" s="67">
        <f t="shared" si="14"/>
        <v>72076.3723150358</v>
      </c>
      <c r="AD119" s="67">
        <f t="shared" si="31"/>
        <v>72076.3723150358</v>
      </c>
    </row>
    <row r="120" s="10" customFormat="1" spans="1:30">
      <c r="A120" s="28">
        <v>117</v>
      </c>
      <c r="B120" s="29" t="s">
        <v>520</v>
      </c>
      <c r="C120" s="29" t="s">
        <v>550</v>
      </c>
      <c r="D120" s="30"/>
      <c r="E120" s="31" t="s">
        <v>522</v>
      </c>
      <c r="F120" s="32" t="s">
        <v>551</v>
      </c>
      <c r="G120" s="33" t="s">
        <v>552</v>
      </c>
      <c r="H120" s="31" t="s">
        <v>553</v>
      </c>
      <c r="I120" s="47">
        <v>42304</v>
      </c>
      <c r="J120" s="48" t="s">
        <v>69</v>
      </c>
      <c r="K120" s="49">
        <v>42304</v>
      </c>
      <c r="L120" s="49">
        <v>43441</v>
      </c>
      <c r="M120" s="50"/>
      <c r="N120" s="50" t="s">
        <v>62</v>
      </c>
      <c r="O120" s="51">
        <f>44607/12</f>
        <v>3717.25</v>
      </c>
      <c r="P120" s="50"/>
      <c r="Q120" s="57">
        <f t="shared" si="29"/>
        <v>33455.25</v>
      </c>
      <c r="R120" s="51">
        <v>33455.25</v>
      </c>
      <c r="S120" s="51">
        <v>0</v>
      </c>
      <c r="T120" s="51">
        <f>3717.25*3</f>
        <v>11151.75</v>
      </c>
      <c r="U120" s="58">
        <f t="shared" si="32"/>
        <v>44607</v>
      </c>
      <c r="V120" s="50"/>
      <c r="W120" s="59">
        <f t="shared" si="30"/>
        <v>44607</v>
      </c>
      <c r="X120" s="59"/>
      <c r="Y120" s="59"/>
      <c r="Z120" s="50"/>
      <c r="AA120" s="50"/>
      <c r="AB120" s="50"/>
      <c r="AC120" s="67">
        <f t="shared" si="14"/>
        <v>42584.2482100239</v>
      </c>
      <c r="AD120" s="67">
        <f t="shared" si="31"/>
        <v>42584.2482100239</v>
      </c>
    </row>
    <row r="121" s="10" customFormat="1" spans="1:30">
      <c r="A121" s="28">
        <v>118</v>
      </c>
      <c r="B121" s="29" t="s">
        <v>520</v>
      </c>
      <c r="C121" s="29" t="s">
        <v>554</v>
      </c>
      <c r="D121" s="30"/>
      <c r="E121" s="31" t="s">
        <v>522</v>
      </c>
      <c r="F121" s="32" t="s">
        <v>523</v>
      </c>
      <c r="G121" s="33" t="s">
        <v>555</v>
      </c>
      <c r="H121" s="31" t="s">
        <v>556</v>
      </c>
      <c r="I121" s="47">
        <v>42891</v>
      </c>
      <c r="J121" s="48" t="s">
        <v>120</v>
      </c>
      <c r="K121" s="49">
        <v>42887</v>
      </c>
      <c r="L121" s="49">
        <v>43830</v>
      </c>
      <c r="M121" s="50"/>
      <c r="N121" s="50" t="s">
        <v>62</v>
      </c>
      <c r="O121" s="51">
        <f>70800/12</f>
        <v>5900</v>
      </c>
      <c r="P121" s="50"/>
      <c r="Q121" s="57">
        <f t="shared" si="29"/>
        <v>53100</v>
      </c>
      <c r="R121" s="51">
        <v>52365.11</v>
      </c>
      <c r="S121" s="51">
        <v>0</v>
      </c>
      <c r="T121" s="51">
        <f>5815.71*3</f>
        <v>17447.13</v>
      </c>
      <c r="U121" s="58">
        <f t="shared" si="32"/>
        <v>69812.24</v>
      </c>
      <c r="V121" s="50"/>
      <c r="W121" s="59">
        <f t="shared" si="30"/>
        <v>70800</v>
      </c>
      <c r="X121" s="59"/>
      <c r="Y121" s="59"/>
      <c r="Z121" s="50"/>
      <c r="AA121" s="50"/>
      <c r="AB121" s="50"/>
      <c r="AC121" s="67">
        <f t="shared" si="14"/>
        <v>67589.4988066826</v>
      </c>
      <c r="AD121" s="67">
        <f t="shared" si="31"/>
        <v>67589.4988066826</v>
      </c>
    </row>
    <row r="122" s="10" customFormat="1" spans="1:30">
      <c r="A122" s="28">
        <v>119</v>
      </c>
      <c r="B122" s="29" t="s">
        <v>520</v>
      </c>
      <c r="C122" s="29" t="s">
        <v>557</v>
      </c>
      <c r="D122" s="30"/>
      <c r="E122" s="31" t="s">
        <v>522</v>
      </c>
      <c r="F122" s="32" t="s">
        <v>558</v>
      </c>
      <c r="G122" s="33" t="s">
        <v>559</v>
      </c>
      <c r="H122" s="31" t="s">
        <v>560</v>
      </c>
      <c r="I122" s="47">
        <v>42387</v>
      </c>
      <c r="J122" s="48" t="s">
        <v>83</v>
      </c>
      <c r="K122" s="49">
        <v>42940</v>
      </c>
      <c r="L122" s="49">
        <v>43465</v>
      </c>
      <c r="M122" s="50"/>
      <c r="N122" s="50" t="s">
        <v>62</v>
      </c>
      <c r="O122" s="51">
        <f>40453.3/12</f>
        <v>3371.10833333333</v>
      </c>
      <c r="P122" s="50"/>
      <c r="Q122" s="57">
        <f t="shared" si="29"/>
        <v>30339.975</v>
      </c>
      <c r="R122" s="51">
        <v>49846.59</v>
      </c>
      <c r="S122" s="51">
        <v>0</v>
      </c>
      <c r="T122" s="51">
        <f>3322.95*3</f>
        <v>9968.85</v>
      </c>
      <c r="U122" s="58">
        <f t="shared" si="32"/>
        <v>59815.44</v>
      </c>
      <c r="V122" s="50"/>
      <c r="W122" s="59">
        <f t="shared" si="30"/>
        <v>40453.3</v>
      </c>
      <c r="X122" s="59"/>
      <c r="Y122" s="59"/>
      <c r="Z122" s="50"/>
      <c r="AA122" s="50"/>
      <c r="AB122" s="50"/>
      <c r="AC122" s="67">
        <f t="shared" si="14"/>
        <v>38618.9021479714</v>
      </c>
      <c r="AD122" s="67">
        <f t="shared" si="31"/>
        <v>38618.9021479714</v>
      </c>
    </row>
    <row r="123" s="10" customFormat="1" spans="1:30">
      <c r="A123" s="28">
        <v>120</v>
      </c>
      <c r="B123" s="29" t="s">
        <v>520</v>
      </c>
      <c r="C123" s="29" t="s">
        <v>561</v>
      </c>
      <c r="D123" s="30"/>
      <c r="E123" s="31" t="s">
        <v>522</v>
      </c>
      <c r="F123" s="32" t="s">
        <v>562</v>
      </c>
      <c r="G123" s="33" t="s">
        <v>563</v>
      </c>
      <c r="H123" s="31" t="s">
        <v>564</v>
      </c>
      <c r="I123" s="47">
        <v>42736</v>
      </c>
      <c r="J123" s="48" t="s">
        <v>213</v>
      </c>
      <c r="K123" s="49">
        <v>42736</v>
      </c>
      <c r="L123" s="49">
        <v>44561</v>
      </c>
      <c r="M123" s="50"/>
      <c r="N123" s="50" t="s">
        <v>62</v>
      </c>
      <c r="O123" s="51">
        <f>51300/12</f>
        <v>4275</v>
      </c>
      <c r="P123" s="50"/>
      <c r="Q123" s="57">
        <f t="shared" si="29"/>
        <v>38475</v>
      </c>
      <c r="R123" s="51">
        <v>36642.85</v>
      </c>
      <c r="S123" s="51">
        <v>0</v>
      </c>
      <c r="T123" s="51">
        <f>4071.43*3</f>
        <v>12214.29</v>
      </c>
      <c r="U123" s="58">
        <f t="shared" si="32"/>
        <v>48857.14</v>
      </c>
      <c r="V123" s="50"/>
      <c r="W123" s="59">
        <f t="shared" si="30"/>
        <v>51300</v>
      </c>
      <c r="X123" s="59"/>
      <c r="Y123" s="59"/>
      <c r="Z123" s="50"/>
      <c r="AA123" s="50"/>
      <c r="AB123" s="50"/>
      <c r="AC123" s="67">
        <f t="shared" si="14"/>
        <v>48973.7470167064</v>
      </c>
      <c r="AD123" s="67">
        <f t="shared" si="31"/>
        <v>48973.7470167064</v>
      </c>
    </row>
    <row r="124" s="10" customFormat="1" spans="1:30">
      <c r="A124" s="28">
        <v>121</v>
      </c>
      <c r="B124" s="29" t="s">
        <v>520</v>
      </c>
      <c r="C124" s="29" t="s">
        <v>565</v>
      </c>
      <c r="D124" s="30"/>
      <c r="E124" s="31" t="s">
        <v>522</v>
      </c>
      <c r="F124" s="32" t="s">
        <v>566</v>
      </c>
      <c r="G124" s="33" t="s">
        <v>567</v>
      </c>
      <c r="H124" s="31" t="s">
        <v>568</v>
      </c>
      <c r="I124" s="47">
        <v>43040</v>
      </c>
      <c r="J124" s="48" t="s">
        <v>54</v>
      </c>
      <c r="K124" s="49">
        <v>43070</v>
      </c>
      <c r="L124" s="49">
        <v>44926</v>
      </c>
      <c r="M124" s="50"/>
      <c r="N124" s="50" t="s">
        <v>62</v>
      </c>
      <c r="O124" s="51">
        <f>40000/12</f>
        <v>3333.33333333333</v>
      </c>
      <c r="P124" s="50"/>
      <c r="Q124" s="57">
        <f t="shared" si="29"/>
        <v>30000</v>
      </c>
      <c r="R124" s="51">
        <f>19047.61+9523.83</f>
        <v>28571.44</v>
      </c>
      <c r="S124" s="51">
        <v>0</v>
      </c>
      <c r="T124" s="51">
        <f>3174.6*3</f>
        <v>9523.8</v>
      </c>
      <c r="U124" s="58">
        <f t="shared" si="32"/>
        <v>38095.24</v>
      </c>
      <c r="V124" s="50"/>
      <c r="W124" s="59">
        <f t="shared" si="30"/>
        <v>40000</v>
      </c>
      <c r="X124" s="59"/>
      <c r="Y124" s="59"/>
      <c r="Z124" s="50"/>
      <c r="AA124" s="50"/>
      <c r="AB124" s="50"/>
      <c r="AC124" s="67">
        <f t="shared" si="14"/>
        <v>38186.1575178998</v>
      </c>
      <c r="AD124" s="67">
        <f t="shared" si="31"/>
        <v>38186.1575178998</v>
      </c>
    </row>
    <row r="125" s="10" customFormat="1" spans="1:30">
      <c r="A125" s="28">
        <v>122</v>
      </c>
      <c r="B125" s="29" t="s">
        <v>520</v>
      </c>
      <c r="C125" s="29" t="s">
        <v>569</v>
      </c>
      <c r="D125" s="30"/>
      <c r="E125" s="31" t="s">
        <v>522</v>
      </c>
      <c r="F125" s="32" t="s">
        <v>570</v>
      </c>
      <c r="G125" s="33" t="s">
        <v>571</v>
      </c>
      <c r="H125" s="31" t="s">
        <v>572</v>
      </c>
      <c r="I125" s="47">
        <v>43061</v>
      </c>
      <c r="J125" s="48" t="s">
        <v>54</v>
      </c>
      <c r="K125" s="49">
        <v>43070</v>
      </c>
      <c r="L125" s="49">
        <v>44926</v>
      </c>
      <c r="M125" s="50"/>
      <c r="N125" s="50" t="s">
        <v>62</v>
      </c>
      <c r="O125" s="51">
        <f>49800/12</f>
        <v>4150</v>
      </c>
      <c r="P125" s="50"/>
      <c r="Q125" s="57">
        <f t="shared" si="29"/>
        <v>37350</v>
      </c>
      <c r="R125" s="51">
        <f>23714.28+11857.15</f>
        <v>35571.43</v>
      </c>
      <c r="S125" s="51">
        <v>0</v>
      </c>
      <c r="T125" s="51">
        <f>3952.38*3</f>
        <v>11857.14</v>
      </c>
      <c r="U125" s="58">
        <f t="shared" si="32"/>
        <v>47428.57</v>
      </c>
      <c r="V125" s="50"/>
      <c r="W125" s="59">
        <f t="shared" si="30"/>
        <v>49800</v>
      </c>
      <c r="X125" s="59"/>
      <c r="Y125" s="59"/>
      <c r="Z125" s="50"/>
      <c r="AA125" s="50"/>
      <c r="AB125" s="50"/>
      <c r="AC125" s="67">
        <f t="shared" si="14"/>
        <v>47541.7661097852</v>
      </c>
      <c r="AD125" s="67">
        <f t="shared" si="31"/>
        <v>47541.7661097852</v>
      </c>
    </row>
    <row r="126" s="10" customFormat="1" spans="1:30">
      <c r="A126" s="28">
        <v>123</v>
      </c>
      <c r="B126" s="29" t="s">
        <v>573</v>
      </c>
      <c r="C126" s="29" t="s">
        <v>574</v>
      </c>
      <c r="D126" s="30"/>
      <c r="E126" s="31" t="s">
        <v>41</v>
      </c>
      <c r="F126" s="32" t="s">
        <v>575</v>
      </c>
      <c r="G126" s="33" t="s">
        <v>576</v>
      </c>
      <c r="H126" s="31" t="s">
        <v>577</v>
      </c>
      <c r="I126" s="47">
        <v>43282</v>
      </c>
      <c r="J126" s="48" t="s">
        <v>69</v>
      </c>
      <c r="K126" s="49">
        <v>43282</v>
      </c>
      <c r="L126" s="49">
        <v>44377</v>
      </c>
      <c r="M126" s="50"/>
      <c r="N126" s="50" t="s">
        <v>62</v>
      </c>
      <c r="O126" s="51">
        <v>314150.84</v>
      </c>
      <c r="P126" s="50" t="s">
        <v>578</v>
      </c>
      <c r="Q126" s="57">
        <f>(299192.82*6+314150.84*3)/1.05</f>
        <v>2607247.08571429</v>
      </c>
      <c r="R126" s="51">
        <v>1896219.8</v>
      </c>
      <c r="S126" s="51">
        <v>714672.89</v>
      </c>
      <c r="T126" s="51">
        <f>O126/1.05*3</f>
        <v>897573.828571429</v>
      </c>
      <c r="U126" s="58">
        <f t="shared" si="32"/>
        <v>3508466.51857143</v>
      </c>
      <c r="V126" s="50"/>
      <c r="W126" s="59">
        <f>314150.84/1.05*6+329864.84/1.05*6</f>
        <v>3680089.6</v>
      </c>
      <c r="X126" s="59">
        <f>329864.84/1.05*6+346354.21/1.05*6</f>
        <v>3864108.85714286</v>
      </c>
      <c r="Y126" s="59">
        <f>346354.21/1.05*6</f>
        <v>1979166.91428571</v>
      </c>
      <c r="Z126" s="50"/>
      <c r="AA126" s="50"/>
      <c r="AB126" s="50"/>
      <c r="AC126" s="67">
        <f t="shared" si="14"/>
        <v>8756771.44853001</v>
      </c>
      <c r="AD126" s="67">
        <f>AC126/3</f>
        <v>2918923.81617667</v>
      </c>
    </row>
    <row r="127" s="10" customFormat="1" spans="1:30">
      <c r="A127" s="28">
        <v>124</v>
      </c>
      <c r="B127" s="29" t="s">
        <v>573</v>
      </c>
      <c r="C127" s="29" t="s">
        <v>579</v>
      </c>
      <c r="D127" s="30" t="s">
        <v>580</v>
      </c>
      <c r="E127" s="31" t="s">
        <v>41</v>
      </c>
      <c r="F127" s="32" t="s">
        <v>575</v>
      </c>
      <c r="G127" s="33" t="s">
        <v>581</v>
      </c>
      <c r="H127" s="31" t="s">
        <v>577</v>
      </c>
      <c r="I127" s="47">
        <v>42882</v>
      </c>
      <c r="J127" s="48" t="s">
        <v>69</v>
      </c>
      <c r="K127" s="49">
        <v>42883</v>
      </c>
      <c r="L127" s="49">
        <v>44012</v>
      </c>
      <c r="M127" s="50"/>
      <c r="N127" s="50" t="s">
        <v>55</v>
      </c>
      <c r="O127" s="51">
        <v>31357.63</v>
      </c>
      <c r="P127" s="50" t="s">
        <v>578</v>
      </c>
      <c r="Q127" s="57">
        <f>(29864.41*6+31357.63*3)/1.05</f>
        <v>260247</v>
      </c>
      <c r="R127" s="51">
        <v>221512.89</v>
      </c>
      <c r="S127" s="51">
        <v>39090.53</v>
      </c>
      <c r="T127" s="51">
        <f>31357.63*3/1.05</f>
        <v>89593.2285714286</v>
      </c>
      <c r="U127" s="58">
        <f t="shared" ref="U127:U159" si="33">R127+S127+T127</f>
        <v>350196.648571429</v>
      </c>
      <c r="V127" s="50"/>
      <c r="W127" s="59">
        <f>31357.63/1.05*6+32925.51/1.05*6</f>
        <v>367332.228571429</v>
      </c>
      <c r="X127" s="59">
        <f>32925.51/1.05*6</f>
        <v>188145.771428571</v>
      </c>
      <c r="Y127" s="59"/>
      <c r="Z127" s="50"/>
      <c r="AA127" s="50"/>
      <c r="AB127" s="50"/>
      <c r="AC127" s="67">
        <f t="shared" si="14"/>
        <v>522144.467946428</v>
      </c>
      <c r="AD127" s="67">
        <f>AC127/2</f>
        <v>261072.233973214</v>
      </c>
    </row>
    <row r="128" s="10" customFormat="1" spans="1:30">
      <c r="A128" s="28">
        <v>125</v>
      </c>
      <c r="B128" s="29" t="s">
        <v>573</v>
      </c>
      <c r="C128" s="29" t="s">
        <v>582</v>
      </c>
      <c r="D128" s="30"/>
      <c r="E128" s="31" t="s">
        <v>41</v>
      </c>
      <c r="F128" s="32" t="s">
        <v>583</v>
      </c>
      <c r="G128" s="33" t="s">
        <v>584</v>
      </c>
      <c r="H128" s="31" t="s">
        <v>585</v>
      </c>
      <c r="I128" s="47">
        <v>42849</v>
      </c>
      <c r="J128" s="48" t="s">
        <v>586</v>
      </c>
      <c r="K128" s="49">
        <v>42856</v>
      </c>
      <c r="L128" s="49">
        <v>43830</v>
      </c>
      <c r="M128" s="50"/>
      <c r="N128" s="50" t="s">
        <v>62</v>
      </c>
      <c r="O128" s="51">
        <v>30150.12</v>
      </c>
      <c r="P128" s="50" t="s">
        <v>578</v>
      </c>
      <c r="Q128" s="57">
        <f>O128*9/1.1</f>
        <v>246682.8</v>
      </c>
      <c r="R128" s="51">
        <v>197628.82</v>
      </c>
      <c r="S128" s="51">
        <v>49165.88</v>
      </c>
      <c r="T128" s="51">
        <f>O128/1.1*3</f>
        <v>82227.6</v>
      </c>
      <c r="U128" s="58">
        <f t="shared" si="33"/>
        <v>329022.3</v>
      </c>
      <c r="V128" s="50"/>
      <c r="W128" s="59">
        <f>O128/1.1*12</f>
        <v>328910.4</v>
      </c>
      <c r="X128" s="59"/>
      <c r="Y128" s="59"/>
      <c r="Z128" s="50"/>
      <c r="AA128" s="50"/>
      <c r="AB128" s="50"/>
      <c r="AC128" s="67">
        <f t="shared" si="14"/>
        <v>313995.608591885</v>
      </c>
      <c r="AD128" s="67">
        <f>AC128/1</f>
        <v>313995.608591885</v>
      </c>
    </row>
    <row r="129" s="10" customFormat="1" spans="1:30">
      <c r="A129" s="28">
        <v>126</v>
      </c>
      <c r="B129" s="29" t="s">
        <v>573</v>
      </c>
      <c r="C129" s="29" t="s">
        <v>587</v>
      </c>
      <c r="D129" s="30"/>
      <c r="E129" s="31" t="s">
        <v>41</v>
      </c>
      <c r="F129" s="32" t="s">
        <v>583</v>
      </c>
      <c r="G129" s="33" t="s">
        <v>588</v>
      </c>
      <c r="H129" s="31" t="s">
        <v>589</v>
      </c>
      <c r="I129" s="47">
        <v>43047</v>
      </c>
      <c r="J129" s="48" t="s">
        <v>54</v>
      </c>
      <c r="K129" s="49">
        <v>43070</v>
      </c>
      <c r="L129" s="49">
        <v>44895</v>
      </c>
      <c r="M129" s="50"/>
      <c r="N129" s="50" t="s">
        <v>62</v>
      </c>
      <c r="O129" s="51">
        <v>23180</v>
      </c>
      <c r="P129" s="50" t="s">
        <v>578</v>
      </c>
      <c r="Q129" s="57">
        <f>O129*9/1.05</f>
        <v>198685.714285714</v>
      </c>
      <c r="R129" s="51">
        <v>179770.6</v>
      </c>
      <c r="S129" s="51">
        <v>44766.2</v>
      </c>
      <c r="T129" s="51">
        <f>O129/1.05*3</f>
        <v>66228.5714285714</v>
      </c>
      <c r="U129" s="58">
        <f t="shared" si="33"/>
        <v>290765.371428571</v>
      </c>
      <c r="V129" s="50"/>
      <c r="W129" s="59">
        <f>O129/1.05*12</f>
        <v>264914.285714286</v>
      </c>
      <c r="X129" s="59">
        <f>O129/1.05*12</f>
        <v>264914.285714286</v>
      </c>
      <c r="Y129" s="59">
        <f>O129/1.05*12</f>
        <v>264914.285714286</v>
      </c>
      <c r="Z129" s="50">
        <f>O129/1.05*11</f>
        <v>242838.095238095</v>
      </c>
      <c r="AA129" s="50"/>
      <c r="AB129" s="50"/>
      <c r="AC129" s="67">
        <f t="shared" si="14"/>
        <v>926517.755722411</v>
      </c>
      <c r="AD129" s="68">
        <f>AC129/4</f>
        <v>231629.438930603</v>
      </c>
    </row>
    <row r="130" s="10" customFormat="1" spans="1:30">
      <c r="A130" s="28">
        <v>127</v>
      </c>
      <c r="B130" s="29" t="s">
        <v>573</v>
      </c>
      <c r="C130" s="29" t="s">
        <v>590</v>
      </c>
      <c r="D130" s="30"/>
      <c r="E130" s="31" t="s">
        <v>41</v>
      </c>
      <c r="F130" s="32" t="s">
        <v>591</v>
      </c>
      <c r="G130" s="33" t="s">
        <v>592</v>
      </c>
      <c r="H130" s="31" t="s">
        <v>593</v>
      </c>
      <c r="I130" s="47">
        <v>41991</v>
      </c>
      <c r="J130" s="48" t="s">
        <v>219</v>
      </c>
      <c r="K130" s="49">
        <v>42186</v>
      </c>
      <c r="L130" s="49">
        <v>44012</v>
      </c>
      <c r="M130" s="50"/>
      <c r="N130" s="50" t="s">
        <v>62</v>
      </c>
      <c r="O130" s="51">
        <v>10600</v>
      </c>
      <c r="P130" s="50" t="s">
        <v>495</v>
      </c>
      <c r="Q130" s="57">
        <f>12268.52*9</f>
        <v>110416.68</v>
      </c>
      <c r="R130" s="51">
        <v>56525.16</v>
      </c>
      <c r="S130" s="51">
        <v>27518.16</v>
      </c>
      <c r="T130" s="51">
        <f>12268.52*3</f>
        <v>36805.56</v>
      </c>
      <c r="U130" s="58">
        <f t="shared" si="33"/>
        <v>120848.88</v>
      </c>
      <c r="V130" s="50"/>
      <c r="W130" s="59">
        <f>12268.52*12</f>
        <v>147222.24</v>
      </c>
      <c r="X130" s="59">
        <f>12268.52*6</f>
        <v>73611.12</v>
      </c>
      <c r="Y130" s="59"/>
      <c r="Z130" s="50"/>
      <c r="AA130" s="50"/>
      <c r="AB130" s="50"/>
      <c r="AC130" s="67">
        <f t="shared" si="14"/>
        <v>207632.826333867</v>
      </c>
      <c r="AD130" s="67">
        <f>AC130/2</f>
        <v>103816.413166933</v>
      </c>
    </row>
    <row r="131" s="10" customFormat="1" spans="1:30">
      <c r="A131" s="28">
        <v>128</v>
      </c>
      <c r="B131" s="29" t="s">
        <v>573</v>
      </c>
      <c r="C131" s="29" t="s">
        <v>594</v>
      </c>
      <c r="D131" s="30"/>
      <c r="E131" s="31" t="s">
        <v>41</v>
      </c>
      <c r="F131" s="32" t="s">
        <v>595</v>
      </c>
      <c r="G131" s="33" t="s">
        <v>596</v>
      </c>
      <c r="H131" s="31" t="s">
        <v>597</v>
      </c>
      <c r="I131" s="47">
        <v>42307</v>
      </c>
      <c r="J131" s="48" t="s">
        <v>219</v>
      </c>
      <c r="K131" s="49">
        <v>42309</v>
      </c>
      <c r="L131" s="49">
        <v>44561</v>
      </c>
      <c r="M131" s="50"/>
      <c r="N131" s="50" t="s">
        <v>62</v>
      </c>
      <c r="O131" s="51">
        <v>18900</v>
      </c>
      <c r="P131" s="50" t="s">
        <v>495</v>
      </c>
      <c r="Q131" s="57">
        <f>18900*9</f>
        <v>170100</v>
      </c>
      <c r="R131" s="51">
        <v>77025.49</v>
      </c>
      <c r="S131" s="51">
        <v>98280</v>
      </c>
      <c r="T131" s="51">
        <f>18900*3</f>
        <v>56700</v>
      </c>
      <c r="U131" s="58">
        <f t="shared" si="33"/>
        <v>232005.49</v>
      </c>
      <c r="V131" s="50"/>
      <c r="W131" s="59">
        <f>19800*12</f>
        <v>237600</v>
      </c>
      <c r="X131" s="59">
        <f>20700*12</f>
        <v>248400</v>
      </c>
      <c r="Y131" s="59">
        <f>21600*12</f>
        <v>259200</v>
      </c>
      <c r="Z131" s="50"/>
      <c r="AA131" s="50"/>
      <c r="AB131" s="50"/>
      <c r="AC131" s="67">
        <f t="shared" si="14"/>
        <v>678722.313694718</v>
      </c>
      <c r="AD131" s="67">
        <f>AC131/3</f>
        <v>226240.771231573</v>
      </c>
    </row>
    <row r="132" s="10" customFormat="1" spans="1:30">
      <c r="A132" s="28">
        <v>129</v>
      </c>
      <c r="B132" s="29" t="s">
        <v>573</v>
      </c>
      <c r="C132" s="29" t="s">
        <v>598</v>
      </c>
      <c r="D132" s="30" t="s">
        <v>599</v>
      </c>
      <c r="E132" s="31" t="s">
        <v>41</v>
      </c>
      <c r="F132" s="32" t="s">
        <v>600</v>
      </c>
      <c r="G132" s="33" t="s">
        <v>601</v>
      </c>
      <c r="H132" s="31" t="s">
        <v>602</v>
      </c>
      <c r="I132" s="47">
        <v>43282</v>
      </c>
      <c r="J132" s="48" t="s">
        <v>120</v>
      </c>
      <c r="K132" s="49">
        <v>43282</v>
      </c>
      <c r="L132" s="49">
        <v>44012</v>
      </c>
      <c r="M132" s="50"/>
      <c r="N132" s="50" t="s">
        <v>62</v>
      </c>
      <c r="O132" s="51">
        <v>18900</v>
      </c>
      <c r="P132" s="50" t="s">
        <v>578</v>
      </c>
      <c r="Q132" s="57">
        <f>(17388*6+18900*3)/1.05</f>
        <v>153360</v>
      </c>
      <c r="R132" s="51">
        <v>107153.9</v>
      </c>
      <c r="S132" s="51">
        <v>28311.53</v>
      </c>
      <c r="T132" s="51">
        <f>18900*4/1.05</f>
        <v>72000</v>
      </c>
      <c r="U132" s="58">
        <f t="shared" si="33"/>
        <v>207465.43</v>
      </c>
      <c r="V132" s="50"/>
      <c r="W132" s="59">
        <f>18900*12/1.05</f>
        <v>216000</v>
      </c>
      <c r="X132" s="59">
        <f>18900*6/1.05</f>
        <v>108000</v>
      </c>
      <c r="Y132" s="59"/>
      <c r="Z132" s="50"/>
      <c r="AA132" s="50"/>
      <c r="AB132" s="50"/>
      <c r="AC132" s="67">
        <f t="shared" si="14"/>
        <v>304632.577850434</v>
      </c>
      <c r="AD132" s="67">
        <f>AC132/2</f>
        <v>152316.288925217</v>
      </c>
    </row>
    <row r="133" s="10" customFormat="1" spans="1:30">
      <c r="A133" s="28">
        <v>130</v>
      </c>
      <c r="B133" s="29" t="s">
        <v>573</v>
      </c>
      <c r="C133" s="29" t="s">
        <v>603</v>
      </c>
      <c r="D133" s="30" t="s">
        <v>604</v>
      </c>
      <c r="E133" s="31" t="s">
        <v>41</v>
      </c>
      <c r="F133" s="32" t="s">
        <v>605</v>
      </c>
      <c r="G133" s="33" t="s">
        <v>606</v>
      </c>
      <c r="H133" s="31" t="s">
        <v>607</v>
      </c>
      <c r="I133" s="47">
        <v>42942</v>
      </c>
      <c r="J133" s="48" t="s">
        <v>54</v>
      </c>
      <c r="K133" s="49">
        <v>42846</v>
      </c>
      <c r="L133" s="49">
        <v>44671</v>
      </c>
      <c r="M133" s="50"/>
      <c r="N133" s="50" t="s">
        <v>62</v>
      </c>
      <c r="O133" s="51">
        <v>26445.67</v>
      </c>
      <c r="P133" s="50" t="s">
        <v>578</v>
      </c>
      <c r="Q133" s="57">
        <f>26445.67*9/1.05</f>
        <v>226677.171428571</v>
      </c>
      <c r="R133" s="51">
        <v>103085.54</v>
      </c>
      <c r="S133" s="51">
        <v>48106.63</v>
      </c>
      <c r="T133" s="51">
        <f>26445.67*3/1.05</f>
        <v>75559.0571428571</v>
      </c>
      <c r="U133" s="58">
        <f t="shared" si="33"/>
        <v>226751.227142857</v>
      </c>
      <c r="V133" s="50"/>
      <c r="W133" s="59">
        <f>26445.67*12/1.05</f>
        <v>302236.228571429</v>
      </c>
      <c r="X133" s="59">
        <f>26445.67*12/1.05</f>
        <v>302236.228571429</v>
      </c>
      <c r="Y133" s="59">
        <f>26445.67*12/1.05</f>
        <v>302236.228571429</v>
      </c>
      <c r="Z133" s="50">
        <f>26445.67*4/1.05</f>
        <v>100745.40952381</v>
      </c>
      <c r="AA133" s="50"/>
      <c r="AB133" s="50"/>
      <c r="AC133" s="67">
        <f t="shared" ref="AC133:AC172" si="34">NPV(4.75%,W133:AA133)</f>
        <v>910612.664480623</v>
      </c>
      <c r="AD133" s="68">
        <f>AC133/4</f>
        <v>227653.166120156</v>
      </c>
    </row>
    <row r="134" s="10" customFormat="1" spans="1:30">
      <c r="A134" s="28">
        <v>131</v>
      </c>
      <c r="B134" s="29" t="s">
        <v>573</v>
      </c>
      <c r="C134" s="29" t="s">
        <v>608</v>
      </c>
      <c r="D134" s="30"/>
      <c r="E134" s="31" t="s">
        <v>41</v>
      </c>
      <c r="F134" s="32" t="s">
        <v>609</v>
      </c>
      <c r="G134" s="33" t="s">
        <v>610</v>
      </c>
      <c r="H134" s="31" t="s">
        <v>611</v>
      </c>
      <c r="I134" s="47">
        <v>43129</v>
      </c>
      <c r="J134" s="48" t="s">
        <v>54</v>
      </c>
      <c r="K134" s="49">
        <v>43160</v>
      </c>
      <c r="L134" s="49">
        <v>44985</v>
      </c>
      <c r="M134" s="50"/>
      <c r="N134" s="50" t="s">
        <v>62</v>
      </c>
      <c r="O134" s="51">
        <v>21340</v>
      </c>
      <c r="P134" s="50" t="s">
        <v>495</v>
      </c>
      <c r="Q134" s="57">
        <f t="shared" ref="Q134" si="35">O134*9</f>
        <v>192060</v>
      </c>
      <c r="R134" s="51">
        <v>128176.98</v>
      </c>
      <c r="S134" s="51">
        <v>85451.2</v>
      </c>
      <c r="T134" s="51">
        <f>O134*3</f>
        <v>64020</v>
      </c>
      <c r="U134" s="58">
        <f t="shared" si="33"/>
        <v>277648.18</v>
      </c>
      <c r="V134" s="50"/>
      <c r="W134" s="59">
        <f>O134*12</f>
        <v>256080</v>
      </c>
      <c r="X134" s="59">
        <f>O134*12</f>
        <v>256080</v>
      </c>
      <c r="Y134" s="59">
        <f>O134*12</f>
        <v>256080</v>
      </c>
      <c r="Z134" s="50">
        <f>O134*12</f>
        <v>256080</v>
      </c>
      <c r="AA134" s="50">
        <f>O134*2</f>
        <v>42680</v>
      </c>
      <c r="AB134" s="50"/>
      <c r="AC134" s="67">
        <f t="shared" si="34"/>
        <v>947187.044515152</v>
      </c>
      <c r="AD134" s="67">
        <f>AC134/5</f>
        <v>189437.40890303</v>
      </c>
    </row>
    <row r="135" s="10" customFormat="1" spans="1:30">
      <c r="A135" s="28">
        <v>132</v>
      </c>
      <c r="B135" s="29" t="s">
        <v>573</v>
      </c>
      <c r="C135" s="29" t="s">
        <v>612</v>
      </c>
      <c r="D135" s="30"/>
      <c r="E135" s="31" t="s">
        <v>41</v>
      </c>
      <c r="F135" s="32" t="s">
        <v>613</v>
      </c>
      <c r="G135" s="33" t="s">
        <v>614</v>
      </c>
      <c r="H135" s="31" t="s">
        <v>615</v>
      </c>
      <c r="I135" s="47">
        <v>43101</v>
      </c>
      <c r="J135" s="48" t="s">
        <v>54</v>
      </c>
      <c r="K135" s="49">
        <v>43101</v>
      </c>
      <c r="L135" s="49">
        <v>44926</v>
      </c>
      <c r="M135" s="50"/>
      <c r="N135" s="50" t="s">
        <v>62</v>
      </c>
      <c r="O135" s="51">
        <v>19125</v>
      </c>
      <c r="P135" s="50" t="s">
        <v>578</v>
      </c>
      <c r="Q135" s="57">
        <f>19125*9/1.05</f>
        <v>163928.571428571</v>
      </c>
      <c r="R135" s="51">
        <v>183628.46</v>
      </c>
      <c r="S135" s="51">
        <v>61257.42</v>
      </c>
      <c r="T135" s="51">
        <f>(19125+9400)*3/1.05</f>
        <v>81500</v>
      </c>
      <c r="U135" s="58">
        <f t="shared" si="33"/>
        <v>326385.88</v>
      </c>
      <c r="V135" s="50"/>
      <c r="W135" s="59">
        <f>239700/1.05</f>
        <v>228285.714285714</v>
      </c>
      <c r="X135" s="59">
        <f>255000/1.05</f>
        <v>242857.142857143</v>
      </c>
      <c r="Y135" s="59">
        <f>265200/1.05</f>
        <v>252571.428571429</v>
      </c>
      <c r="Z135" s="50">
        <f>280500/1.05</f>
        <v>267142.857142857</v>
      </c>
      <c r="AA135" s="50"/>
      <c r="AB135" s="50"/>
      <c r="AC135" s="67">
        <f t="shared" si="34"/>
        <v>880896.470681491</v>
      </c>
      <c r="AD135" s="68">
        <f t="shared" ref="AD135:AD136" si="36">AC135/4</f>
        <v>220224.117670373</v>
      </c>
    </row>
    <row r="136" s="10" customFormat="1" spans="1:30">
      <c r="A136" s="28">
        <v>133</v>
      </c>
      <c r="B136" s="29" t="s">
        <v>573</v>
      </c>
      <c r="C136" s="29" t="s">
        <v>612</v>
      </c>
      <c r="D136" s="30"/>
      <c r="E136" s="31" t="s">
        <v>41</v>
      </c>
      <c r="F136" s="32" t="s">
        <v>613</v>
      </c>
      <c r="G136" s="33" t="s">
        <v>616</v>
      </c>
      <c r="H136" s="31" t="s">
        <v>615</v>
      </c>
      <c r="I136" s="47">
        <v>42370</v>
      </c>
      <c r="J136" s="48" t="s">
        <v>446</v>
      </c>
      <c r="K136" s="49">
        <v>42522</v>
      </c>
      <c r="L136" s="49">
        <v>44926</v>
      </c>
      <c r="M136" s="50"/>
      <c r="N136" s="50" t="s">
        <v>62</v>
      </c>
      <c r="O136" s="51">
        <v>9400</v>
      </c>
      <c r="P136" s="50" t="s">
        <v>578</v>
      </c>
      <c r="Q136" s="57">
        <f>9400*9/1.05</f>
        <v>80571.4285714286</v>
      </c>
      <c r="R136" s="51"/>
      <c r="S136" s="51"/>
      <c r="T136" s="51"/>
      <c r="U136" s="58">
        <f t="shared" si="33"/>
        <v>0</v>
      </c>
      <c r="V136" s="50"/>
      <c r="W136" s="59">
        <f>120000/1.05</f>
        <v>114285.714285714</v>
      </c>
      <c r="X136" s="59">
        <f>124800/1.05</f>
        <v>118857.142857143</v>
      </c>
      <c r="Y136" s="59">
        <f>132000/1.05</f>
        <v>125714.285714286</v>
      </c>
      <c r="Z136" s="50">
        <f>136800/1.05</f>
        <v>130285.714285714</v>
      </c>
      <c r="AA136" s="50"/>
      <c r="AB136" s="50"/>
      <c r="AC136" s="67">
        <f t="shared" si="34"/>
        <v>435014.878794714</v>
      </c>
      <c r="AD136" s="68">
        <f t="shared" si="36"/>
        <v>108753.719698679</v>
      </c>
    </row>
    <row r="137" s="10" customFormat="1" spans="1:30">
      <c r="A137" s="28">
        <v>134</v>
      </c>
      <c r="B137" s="29" t="s">
        <v>573</v>
      </c>
      <c r="C137" s="29" t="s">
        <v>612</v>
      </c>
      <c r="D137" s="30"/>
      <c r="E137" s="31" t="s">
        <v>41</v>
      </c>
      <c r="F137" s="32" t="s">
        <v>613</v>
      </c>
      <c r="G137" s="33" t="s">
        <v>617</v>
      </c>
      <c r="H137" s="31" t="s">
        <v>618</v>
      </c>
      <c r="I137" s="47">
        <v>41913</v>
      </c>
      <c r="J137" s="48" t="s">
        <v>54</v>
      </c>
      <c r="K137" s="49">
        <v>41913</v>
      </c>
      <c r="L137" s="49">
        <v>43738</v>
      </c>
      <c r="M137" s="50"/>
      <c r="N137" s="50" t="s">
        <v>62</v>
      </c>
      <c r="O137" s="51">
        <v>4043</v>
      </c>
      <c r="P137" s="50" t="s">
        <v>578</v>
      </c>
      <c r="Q137" s="57">
        <f>4043*9/1.05</f>
        <v>34654.2857142857</v>
      </c>
      <c r="R137" s="51">
        <v>27761.75</v>
      </c>
      <c r="S137" s="51">
        <v>6892.57</v>
      </c>
      <c r="T137" s="51">
        <f>4043*3/1.05</f>
        <v>11551.4285714286</v>
      </c>
      <c r="U137" s="58">
        <f t="shared" si="33"/>
        <v>46205.7485714286</v>
      </c>
      <c r="V137" s="50"/>
      <c r="W137" s="59">
        <f>48518/1.05</f>
        <v>46207.619047619</v>
      </c>
      <c r="X137" s="59">
        <f>53364/1.05</f>
        <v>50822.8571428571</v>
      </c>
      <c r="Y137" s="59"/>
      <c r="Z137" s="50"/>
      <c r="AA137" s="50"/>
      <c r="AB137" s="50"/>
      <c r="AC137" s="67">
        <f t="shared" si="34"/>
        <v>90430.4150422821</v>
      </c>
      <c r="AD137" s="67">
        <f t="shared" ref="AD137:AD139" si="37">AC137/2</f>
        <v>45215.2075211411</v>
      </c>
    </row>
    <row r="138" s="10" customFormat="1" spans="1:30">
      <c r="A138" s="28">
        <v>135</v>
      </c>
      <c r="B138" s="29" t="s">
        <v>573</v>
      </c>
      <c r="C138" s="29" t="s">
        <v>619</v>
      </c>
      <c r="D138" s="30"/>
      <c r="E138" s="31" t="s">
        <v>41</v>
      </c>
      <c r="F138" s="32" t="s">
        <v>620</v>
      </c>
      <c r="G138" s="33" t="s">
        <v>621</v>
      </c>
      <c r="H138" s="31" t="s">
        <v>622</v>
      </c>
      <c r="I138" s="47">
        <v>42975</v>
      </c>
      <c r="J138" s="48" t="s">
        <v>69</v>
      </c>
      <c r="K138" s="49">
        <v>43101</v>
      </c>
      <c r="L138" s="49">
        <v>44196</v>
      </c>
      <c r="M138" s="50"/>
      <c r="N138" s="50" t="s">
        <v>62</v>
      </c>
      <c r="O138" s="51">
        <v>15400</v>
      </c>
      <c r="P138" s="50" t="s">
        <v>578</v>
      </c>
      <c r="Q138" s="57">
        <f>15400*9/1.05</f>
        <v>132000</v>
      </c>
      <c r="R138" s="51">
        <v>94416.23</v>
      </c>
      <c r="S138" s="51">
        <v>37766.28</v>
      </c>
      <c r="T138" s="51">
        <f>15400*3/1.05</f>
        <v>44000</v>
      </c>
      <c r="U138" s="58">
        <f t="shared" si="33"/>
        <v>176182.51</v>
      </c>
      <c r="V138" s="50"/>
      <c r="W138" s="59">
        <f>184800/1.05</f>
        <v>176000</v>
      </c>
      <c r="X138" s="59">
        <f>184800/1.05</f>
        <v>176000</v>
      </c>
      <c r="Y138" s="59"/>
      <c r="Z138" s="50"/>
      <c r="AA138" s="50"/>
      <c r="AB138" s="50"/>
      <c r="AC138" s="67">
        <f t="shared" si="34"/>
        <v>328419.181936763</v>
      </c>
      <c r="AD138" s="67">
        <f t="shared" si="37"/>
        <v>164209.590968381</v>
      </c>
    </row>
    <row r="139" s="10" customFormat="1" spans="1:30">
      <c r="A139" s="28">
        <v>136</v>
      </c>
      <c r="B139" s="29" t="s">
        <v>573</v>
      </c>
      <c r="C139" s="29" t="s">
        <v>623</v>
      </c>
      <c r="D139" s="30"/>
      <c r="E139" s="31" t="s">
        <v>41</v>
      </c>
      <c r="F139" s="32" t="s">
        <v>624</v>
      </c>
      <c r="G139" s="33" t="s">
        <v>625</v>
      </c>
      <c r="H139" s="31" t="s">
        <v>626</v>
      </c>
      <c r="I139" s="47">
        <v>43101</v>
      </c>
      <c r="J139" s="48" t="s">
        <v>69</v>
      </c>
      <c r="K139" s="49">
        <v>43101</v>
      </c>
      <c r="L139" s="49">
        <v>44196</v>
      </c>
      <c r="M139" s="50"/>
      <c r="N139" s="50" t="s">
        <v>62</v>
      </c>
      <c r="O139" s="51">
        <v>8115.09</v>
      </c>
      <c r="P139" s="50" t="s">
        <v>495</v>
      </c>
      <c r="Q139" s="57">
        <f>O139*9</f>
        <v>73035.81</v>
      </c>
      <c r="R139" s="51">
        <v>32460.36</v>
      </c>
      <c r="S139" s="51">
        <v>64920.72</v>
      </c>
      <c r="T139" s="51"/>
      <c r="U139" s="58">
        <f t="shared" si="33"/>
        <v>97381.08</v>
      </c>
      <c r="V139" s="50"/>
      <c r="W139" s="59">
        <v>97381.08</v>
      </c>
      <c r="X139" s="59">
        <v>97381.08</v>
      </c>
      <c r="Y139" s="59"/>
      <c r="Z139" s="50"/>
      <c r="AA139" s="50"/>
      <c r="AB139" s="50"/>
      <c r="AC139" s="67">
        <f t="shared" si="34"/>
        <v>181714.855850673</v>
      </c>
      <c r="AD139" s="67">
        <f t="shared" si="37"/>
        <v>90857.4279253365</v>
      </c>
    </row>
    <row r="140" s="10" customFormat="1" spans="1:30">
      <c r="A140" s="28">
        <v>137</v>
      </c>
      <c r="B140" s="29" t="s">
        <v>573</v>
      </c>
      <c r="C140" s="29" t="s">
        <v>627</v>
      </c>
      <c r="D140" s="30"/>
      <c r="E140" s="31" t="s">
        <v>41</v>
      </c>
      <c r="F140" s="32" t="s">
        <v>628</v>
      </c>
      <c r="G140" s="33" t="s">
        <v>629</v>
      </c>
      <c r="H140" s="31" t="s">
        <v>630</v>
      </c>
      <c r="I140" s="47">
        <v>42948</v>
      </c>
      <c r="J140" s="48" t="s">
        <v>54</v>
      </c>
      <c r="K140" s="49">
        <v>42949</v>
      </c>
      <c r="L140" s="49">
        <v>44774</v>
      </c>
      <c r="M140" s="50"/>
      <c r="N140" s="50" t="s">
        <v>292</v>
      </c>
      <c r="O140" s="51">
        <v>17040</v>
      </c>
      <c r="P140" s="50" t="s">
        <v>578</v>
      </c>
      <c r="Q140" s="57">
        <f>17040*9/1.05</f>
        <v>146057.142857143</v>
      </c>
      <c r="R140" s="51">
        <v>111389.21</v>
      </c>
      <c r="S140" s="51">
        <v>27847.31</v>
      </c>
      <c r="T140" s="51"/>
      <c r="U140" s="58">
        <f t="shared" si="33"/>
        <v>139236.52</v>
      </c>
      <c r="V140" s="50"/>
      <c r="W140" s="59">
        <f>17040*12/1.1</f>
        <v>185890.909090909</v>
      </c>
      <c r="X140" s="59">
        <f>17040*12/1.1</f>
        <v>185890.909090909</v>
      </c>
      <c r="Y140" s="59">
        <f>17040*12/1.1</f>
        <v>185890.909090909</v>
      </c>
      <c r="Z140" s="50">
        <f>17040*8/1.1</f>
        <v>123927.272727273</v>
      </c>
      <c r="AA140" s="50"/>
      <c r="AB140" s="50"/>
      <c r="AC140" s="67">
        <f t="shared" si="34"/>
        <v>611539.918082993</v>
      </c>
      <c r="AD140" s="68">
        <f>AC140/4</f>
        <v>152884.979520748</v>
      </c>
    </row>
    <row r="141" s="10" customFormat="1" spans="1:29">
      <c r="A141" s="28">
        <v>138</v>
      </c>
      <c r="B141" s="29" t="s">
        <v>573</v>
      </c>
      <c r="C141" s="29" t="s">
        <v>631</v>
      </c>
      <c r="D141" s="30"/>
      <c r="E141" s="31" t="s">
        <v>41</v>
      </c>
      <c r="F141" s="32" t="s">
        <v>632</v>
      </c>
      <c r="G141" s="33" t="s">
        <v>633</v>
      </c>
      <c r="H141" s="31" t="s">
        <v>634</v>
      </c>
      <c r="I141" s="47">
        <v>41640</v>
      </c>
      <c r="J141" s="48" t="s">
        <v>54</v>
      </c>
      <c r="K141" s="49">
        <v>41640</v>
      </c>
      <c r="L141" s="49">
        <v>43465</v>
      </c>
      <c r="M141" s="50"/>
      <c r="N141" s="50" t="s">
        <v>635</v>
      </c>
      <c r="O141" s="51">
        <v>4800</v>
      </c>
      <c r="P141" s="50" t="s">
        <v>578</v>
      </c>
      <c r="Q141" s="57">
        <f>4800*9+3810.54*3</f>
        <v>54631.62</v>
      </c>
      <c r="R141" s="51">
        <v>43715.4</v>
      </c>
      <c r="S141" s="51">
        <v>10928.82</v>
      </c>
      <c r="T141" s="51">
        <f>14400+3810.54</f>
        <v>18210.54</v>
      </c>
      <c r="U141" s="58">
        <f t="shared" si="33"/>
        <v>72854.76</v>
      </c>
      <c r="V141" s="50"/>
      <c r="W141" s="59"/>
      <c r="X141" s="59"/>
      <c r="Y141" s="59"/>
      <c r="Z141" s="50"/>
      <c r="AA141" s="50"/>
      <c r="AB141" s="50"/>
      <c r="AC141" s="67">
        <f t="shared" si="34"/>
        <v>0</v>
      </c>
    </row>
    <row r="142" s="10" customFormat="1" spans="1:30">
      <c r="A142" s="28">
        <v>139</v>
      </c>
      <c r="B142" s="29" t="s">
        <v>573</v>
      </c>
      <c r="C142" s="29" t="s">
        <v>636</v>
      </c>
      <c r="D142" s="30" t="s">
        <v>637</v>
      </c>
      <c r="E142" s="31" t="s">
        <v>41</v>
      </c>
      <c r="F142" s="32" t="s">
        <v>638</v>
      </c>
      <c r="G142" s="33" t="s">
        <v>639</v>
      </c>
      <c r="H142" s="31" t="s">
        <v>640</v>
      </c>
      <c r="I142" s="47">
        <v>43308</v>
      </c>
      <c r="J142" s="48" t="s">
        <v>69</v>
      </c>
      <c r="K142" s="49">
        <v>43327</v>
      </c>
      <c r="L142" s="49">
        <v>44453</v>
      </c>
      <c r="M142" s="50"/>
      <c r="N142" s="50" t="s">
        <v>55</v>
      </c>
      <c r="O142" s="51">
        <v>24089.65</v>
      </c>
      <c r="P142" s="50" t="s">
        <v>578</v>
      </c>
      <c r="Q142" s="57">
        <f>(36086.08*8+38972.97)/1.05</f>
        <v>312058.676190476</v>
      </c>
      <c r="R142" s="51">
        <v>182970.81</v>
      </c>
      <c r="S142" s="51">
        <v>9629.91</v>
      </c>
      <c r="T142" s="51">
        <f>((38972.97-13067.99)*2+24089.65*3.5)/1.05</f>
        <v>129641.652380952</v>
      </c>
      <c r="U142" s="58">
        <f t="shared" si="33"/>
        <v>322242.372380952</v>
      </c>
      <c r="V142" s="50"/>
      <c r="W142" s="59">
        <f>(24089.65*8.5+25294.13*3.5)/1.05</f>
        <v>279325.219047619</v>
      </c>
      <c r="X142" s="59">
        <f>(25294.13*8.5+26558.84*3.5)/1.05</f>
        <v>293291.471428571</v>
      </c>
      <c r="Y142" s="59">
        <f>26558.84*8.5/1.05</f>
        <v>215000.133333333</v>
      </c>
      <c r="Z142" s="50"/>
      <c r="AA142" s="50"/>
      <c r="AB142" s="50"/>
      <c r="AC142" s="67">
        <f t="shared" si="34"/>
        <v>721012.400090549</v>
      </c>
      <c r="AD142" s="67">
        <f>AC142/3</f>
        <v>240337.46669685</v>
      </c>
    </row>
    <row r="143" s="10" customFormat="1" spans="1:29">
      <c r="A143" s="28">
        <v>140</v>
      </c>
      <c r="B143" s="29" t="s">
        <v>573</v>
      </c>
      <c r="C143" s="29" t="s">
        <v>641</v>
      </c>
      <c r="D143" s="30"/>
      <c r="E143" s="31"/>
      <c r="F143" s="32"/>
      <c r="G143" s="33"/>
      <c r="H143" s="31"/>
      <c r="I143" s="47"/>
      <c r="J143" s="48"/>
      <c r="K143" s="49"/>
      <c r="L143" s="49"/>
      <c r="M143" s="50"/>
      <c r="N143" s="50"/>
      <c r="O143" s="51"/>
      <c r="P143" s="50"/>
      <c r="Q143" s="57">
        <v>0</v>
      </c>
      <c r="R143" s="51">
        <v>116918.91</v>
      </c>
      <c r="S143" s="51">
        <v>0</v>
      </c>
      <c r="T143" s="51">
        <f>13067.99*2</f>
        <v>26135.98</v>
      </c>
      <c r="U143" s="58">
        <f t="shared" si="33"/>
        <v>143054.89</v>
      </c>
      <c r="V143" s="50"/>
      <c r="W143" s="59"/>
      <c r="X143" s="59"/>
      <c r="Y143" s="59"/>
      <c r="Z143" s="50"/>
      <c r="AA143" s="50"/>
      <c r="AB143" s="50"/>
      <c r="AC143" s="67">
        <f t="shared" si="34"/>
        <v>0</v>
      </c>
    </row>
    <row r="144" s="10" customFormat="1" spans="1:30">
      <c r="A144" s="28">
        <v>141</v>
      </c>
      <c r="B144" s="29" t="s">
        <v>573</v>
      </c>
      <c r="C144" s="29" t="s">
        <v>642</v>
      </c>
      <c r="D144" s="30"/>
      <c r="E144" s="31" t="s">
        <v>41</v>
      </c>
      <c r="F144" s="32" t="s">
        <v>575</v>
      </c>
      <c r="G144" s="33" t="s">
        <v>643</v>
      </c>
      <c r="H144" s="31" t="s">
        <v>644</v>
      </c>
      <c r="I144" s="47">
        <v>42114</v>
      </c>
      <c r="J144" s="48"/>
      <c r="K144" s="49">
        <v>42114</v>
      </c>
      <c r="L144" s="49">
        <v>43940</v>
      </c>
      <c r="M144" s="50"/>
      <c r="N144" s="50" t="s">
        <v>62</v>
      </c>
      <c r="O144" s="51">
        <v>28345.6</v>
      </c>
      <c r="P144" s="50" t="s">
        <v>578</v>
      </c>
      <c r="Q144" s="57">
        <f>26995.8/1.05*7+28345.6/1.05*2</f>
        <v>233963.619047619</v>
      </c>
      <c r="R144" s="51">
        <v>189207.71</v>
      </c>
      <c r="S144" s="51">
        <v>44737.27</v>
      </c>
      <c r="T144" s="51">
        <f>28345.6/1.05*3</f>
        <v>80987.4285714286</v>
      </c>
      <c r="U144" s="58">
        <f t="shared" si="33"/>
        <v>314932.408571429</v>
      </c>
      <c r="V144" s="50"/>
      <c r="W144" s="59">
        <f>28345.6/1.05*8+29762.9/1.05*4</f>
        <v>329348.952380952</v>
      </c>
      <c r="X144" s="59">
        <f>29762.9/1.05*4</f>
        <v>113382.476190476</v>
      </c>
      <c r="Y144" s="59"/>
      <c r="Z144" s="50"/>
      <c r="AA144" s="50"/>
      <c r="AB144" s="50"/>
      <c r="AC144" s="67">
        <f t="shared" si="34"/>
        <v>417746.997394204</v>
      </c>
      <c r="AD144" s="67">
        <f t="shared" ref="AD144:AD145" si="38">AC144/2</f>
        <v>208873.498697102</v>
      </c>
    </row>
    <row r="145" s="10" customFormat="1" spans="1:30">
      <c r="A145" s="28">
        <v>142</v>
      </c>
      <c r="B145" s="29" t="s">
        <v>573</v>
      </c>
      <c r="C145" s="29" t="s">
        <v>645</v>
      </c>
      <c r="D145" s="30"/>
      <c r="E145" s="31" t="s">
        <v>41</v>
      </c>
      <c r="F145" s="32" t="s">
        <v>646</v>
      </c>
      <c r="G145" s="33" t="s">
        <v>647</v>
      </c>
      <c r="H145" s="31" t="s">
        <v>648</v>
      </c>
      <c r="I145" s="47">
        <v>42267</v>
      </c>
      <c r="J145" s="48" t="s">
        <v>54</v>
      </c>
      <c r="K145" s="49">
        <v>42278</v>
      </c>
      <c r="L145" s="49">
        <v>44165</v>
      </c>
      <c r="M145" s="50"/>
      <c r="N145" s="50" t="s">
        <v>292</v>
      </c>
      <c r="O145" s="51">
        <v>15000</v>
      </c>
      <c r="P145" s="50" t="s">
        <v>578</v>
      </c>
      <c r="Q145" s="57">
        <f>O145*9/1.05</f>
        <v>128571.428571429</v>
      </c>
      <c r="R145" s="51">
        <v>98337.61</v>
      </c>
      <c r="S145" s="51">
        <v>16008.45</v>
      </c>
      <c r="T145" s="51">
        <f>15000/1.05*3+16500/1.05*1</f>
        <v>58571.4285714286</v>
      </c>
      <c r="U145" s="58">
        <f t="shared" si="33"/>
        <v>172917.488571429</v>
      </c>
      <c r="V145" s="50"/>
      <c r="W145" s="59">
        <f>16500/1.05*12</f>
        <v>188571.428571429</v>
      </c>
      <c r="X145" s="59">
        <f>16500/1.05*11</f>
        <v>172857.142857143</v>
      </c>
      <c r="Y145" s="59"/>
      <c r="Z145" s="50"/>
      <c r="AA145" s="50"/>
      <c r="AB145" s="50"/>
      <c r="AC145" s="67">
        <f t="shared" si="34"/>
        <v>337556.258427067</v>
      </c>
      <c r="AD145" s="67">
        <f t="shared" si="38"/>
        <v>168778.129213533</v>
      </c>
    </row>
    <row r="146" s="10" customFormat="1" spans="1:30">
      <c r="A146" s="28">
        <v>143</v>
      </c>
      <c r="B146" s="29" t="s">
        <v>573</v>
      </c>
      <c r="C146" s="29" t="s">
        <v>649</v>
      </c>
      <c r="D146" s="30"/>
      <c r="E146" s="31" t="s">
        <v>41</v>
      </c>
      <c r="F146" s="32" t="s">
        <v>650</v>
      </c>
      <c r="G146" s="33" t="s">
        <v>651</v>
      </c>
      <c r="H146" s="31" t="s">
        <v>652</v>
      </c>
      <c r="I146" s="47">
        <v>42600</v>
      </c>
      <c r="J146" s="48" t="s">
        <v>219</v>
      </c>
      <c r="K146" s="49">
        <v>42631</v>
      </c>
      <c r="L146" s="49">
        <v>44926</v>
      </c>
      <c r="M146" s="50"/>
      <c r="N146" s="50" t="s">
        <v>55</v>
      </c>
      <c r="O146" s="51">
        <v>17675</v>
      </c>
      <c r="P146" s="50" t="s">
        <v>578</v>
      </c>
      <c r="Q146" s="57">
        <f>17675/1.05*9</f>
        <v>151500</v>
      </c>
      <c r="R146" s="51">
        <v>117864.14</v>
      </c>
      <c r="S146" s="51">
        <v>33680.04</v>
      </c>
      <c r="T146" s="51">
        <f>17675/1.05*3</f>
        <v>50500</v>
      </c>
      <c r="U146" s="58">
        <f t="shared" si="33"/>
        <v>202044.18</v>
      </c>
      <c r="V146" s="50"/>
      <c r="W146" s="59">
        <f>19442/1.05*12</f>
        <v>222194.285714286</v>
      </c>
      <c r="X146" s="59">
        <f>19442/1.05*12</f>
        <v>222194.285714286</v>
      </c>
      <c r="Y146" s="59">
        <f>19442/1.05*12</f>
        <v>222194.285714286</v>
      </c>
      <c r="Z146" s="50">
        <f>19442/1.05*12</f>
        <v>222194.285714286</v>
      </c>
      <c r="AA146" s="50"/>
      <c r="AB146" s="50"/>
      <c r="AC146" s="67">
        <f t="shared" si="34"/>
        <v>792487.036856441</v>
      </c>
      <c r="AD146" s="68">
        <f>AC146/4</f>
        <v>198121.75921411</v>
      </c>
    </row>
    <row r="147" s="10" customFormat="1" spans="1:30">
      <c r="A147" s="28">
        <v>144</v>
      </c>
      <c r="B147" s="29" t="s">
        <v>573</v>
      </c>
      <c r="C147" s="29" t="s">
        <v>653</v>
      </c>
      <c r="D147" s="30" t="s">
        <v>654</v>
      </c>
      <c r="E147" s="31" t="s">
        <v>41</v>
      </c>
      <c r="F147" s="32" t="s">
        <v>655</v>
      </c>
      <c r="G147" s="33" t="s">
        <v>656</v>
      </c>
      <c r="H147" s="31" t="s">
        <v>657</v>
      </c>
      <c r="I147" s="47">
        <v>42619</v>
      </c>
      <c r="J147" s="48" t="s">
        <v>54</v>
      </c>
      <c r="K147" s="49">
        <v>42629</v>
      </c>
      <c r="L147" s="49">
        <v>44454</v>
      </c>
      <c r="M147" s="50"/>
      <c r="N147" s="50" t="s">
        <v>501</v>
      </c>
      <c r="O147" s="51">
        <v>23623</v>
      </c>
      <c r="P147" s="50" t="s">
        <v>578</v>
      </c>
      <c r="Q147" s="57">
        <f>(22286*8+(22286+23623)/2)/1.05</f>
        <v>191659.523809524</v>
      </c>
      <c r="R147" s="51">
        <v>153555.87</v>
      </c>
      <c r="S147" s="51">
        <v>38388.94</v>
      </c>
      <c r="T147" s="51">
        <f>23623*3/1.05</f>
        <v>67494.2857142857</v>
      </c>
      <c r="U147" s="58">
        <f t="shared" si="33"/>
        <v>259439.095714286</v>
      </c>
      <c r="V147" s="50"/>
      <c r="W147" s="59">
        <f>(23623*8.5+25041*3.5)/1.05</f>
        <v>274703.80952381</v>
      </c>
      <c r="X147" s="59">
        <f>(25041*8.5+26543*3.5)/1.05</f>
        <v>291189.523809524</v>
      </c>
      <c r="Y147" s="59">
        <f>26543*8.5/1.05</f>
        <v>214871.904761905</v>
      </c>
      <c r="Z147" s="50"/>
      <c r="AA147" s="50"/>
      <c r="AB147" s="50"/>
      <c r="AC147" s="67">
        <f t="shared" si="34"/>
        <v>714573.349954439</v>
      </c>
      <c r="AD147" s="67">
        <f>AC147/3</f>
        <v>238191.11665148</v>
      </c>
    </row>
    <row r="148" s="10" customFormat="1" spans="1:30">
      <c r="A148" s="28">
        <v>145</v>
      </c>
      <c r="B148" s="29" t="s">
        <v>573</v>
      </c>
      <c r="C148" s="29" t="s">
        <v>653</v>
      </c>
      <c r="D148" s="30" t="s">
        <v>658</v>
      </c>
      <c r="E148" s="31" t="s">
        <v>41</v>
      </c>
      <c r="F148" s="32" t="s">
        <v>655</v>
      </c>
      <c r="G148" s="33" t="s">
        <v>659</v>
      </c>
      <c r="H148" s="31" t="s">
        <v>660</v>
      </c>
      <c r="I148" s="47">
        <v>43101</v>
      </c>
      <c r="J148" s="48" t="s">
        <v>54</v>
      </c>
      <c r="K148" s="49">
        <v>43101</v>
      </c>
      <c r="L148" s="49">
        <v>44926</v>
      </c>
      <c r="M148" s="50"/>
      <c r="N148" s="50" t="s">
        <v>62</v>
      </c>
      <c r="O148" s="51">
        <v>3000</v>
      </c>
      <c r="P148" s="50" t="s">
        <v>495</v>
      </c>
      <c r="Q148" s="57">
        <f>3000*9</f>
        <v>27000</v>
      </c>
      <c r="R148" s="51">
        <v>6000</v>
      </c>
      <c r="S148" s="51">
        <v>0</v>
      </c>
      <c r="T148" s="51">
        <f>3000*3</f>
        <v>9000</v>
      </c>
      <c r="U148" s="58">
        <f t="shared" si="33"/>
        <v>15000</v>
      </c>
      <c r="V148" s="50"/>
      <c r="W148" s="59">
        <f>3000*12</f>
        <v>36000</v>
      </c>
      <c r="X148" s="59">
        <f>3000*12</f>
        <v>36000</v>
      </c>
      <c r="Y148" s="59">
        <f>3450*12</f>
        <v>41400</v>
      </c>
      <c r="Z148" s="50">
        <f>3450*12</f>
        <v>41400</v>
      </c>
      <c r="AA148" s="50"/>
      <c r="AB148" s="50"/>
      <c r="AC148" s="67">
        <f t="shared" si="34"/>
        <v>137582.400171616</v>
      </c>
      <c r="AD148" s="68">
        <f t="shared" ref="AD148:AD149" si="39">AC148/4</f>
        <v>34395.600042904</v>
      </c>
    </row>
    <row r="149" s="10" customFormat="1" spans="1:30">
      <c r="A149" s="28">
        <v>146</v>
      </c>
      <c r="B149" s="29" t="s">
        <v>573</v>
      </c>
      <c r="C149" s="29" t="s">
        <v>653</v>
      </c>
      <c r="D149" s="30" t="s">
        <v>661</v>
      </c>
      <c r="E149" s="31" t="s">
        <v>41</v>
      </c>
      <c r="F149" s="32" t="s">
        <v>655</v>
      </c>
      <c r="G149" s="33" t="s">
        <v>662</v>
      </c>
      <c r="H149" s="31" t="s">
        <v>663</v>
      </c>
      <c r="I149" s="47">
        <v>43084</v>
      </c>
      <c r="J149" s="48" t="s">
        <v>54</v>
      </c>
      <c r="K149" s="49">
        <v>43070</v>
      </c>
      <c r="L149" s="49">
        <v>44895</v>
      </c>
      <c r="M149" s="50"/>
      <c r="N149" s="50" t="s">
        <v>62</v>
      </c>
      <c r="O149" s="51">
        <v>5200</v>
      </c>
      <c r="P149" s="50" t="s">
        <v>495</v>
      </c>
      <c r="Q149" s="57">
        <f>5200*9</f>
        <v>46800</v>
      </c>
      <c r="R149" s="51">
        <v>15600</v>
      </c>
      <c r="S149" s="51">
        <v>0</v>
      </c>
      <c r="T149" s="51">
        <f>5200*3</f>
        <v>15600</v>
      </c>
      <c r="U149" s="58">
        <f t="shared" si="33"/>
        <v>31200</v>
      </c>
      <c r="V149" s="50"/>
      <c r="W149" s="59">
        <f>5200*12</f>
        <v>62400</v>
      </c>
      <c r="X149" s="59">
        <f>5200*11+5460</f>
        <v>62660</v>
      </c>
      <c r="Y149" s="59">
        <f>5460*12</f>
        <v>65520</v>
      </c>
      <c r="Z149" s="50">
        <f>5460*11</f>
        <v>60060</v>
      </c>
      <c r="AA149" s="50"/>
      <c r="AB149" s="50"/>
      <c r="AC149" s="67">
        <f t="shared" si="34"/>
        <v>223566.242012395</v>
      </c>
      <c r="AD149" s="68">
        <f t="shared" si="39"/>
        <v>55891.5605030989</v>
      </c>
    </row>
    <row r="150" s="10" customFormat="1" spans="1:30">
      <c r="A150" s="28">
        <v>147</v>
      </c>
      <c r="B150" s="29" t="s">
        <v>573</v>
      </c>
      <c r="C150" s="29" t="s">
        <v>590</v>
      </c>
      <c r="D150" s="30"/>
      <c r="E150" s="31" t="s">
        <v>41</v>
      </c>
      <c r="F150" s="32" t="s">
        <v>664</v>
      </c>
      <c r="G150" s="33" t="s">
        <v>665</v>
      </c>
      <c r="H150" s="31" t="s">
        <v>666</v>
      </c>
      <c r="I150" s="47">
        <v>42099</v>
      </c>
      <c r="J150" s="48" t="s">
        <v>446</v>
      </c>
      <c r="K150" s="49">
        <v>42217</v>
      </c>
      <c r="L150" s="49">
        <v>44408</v>
      </c>
      <c r="M150" s="50"/>
      <c r="N150" s="50" t="s">
        <v>62</v>
      </c>
      <c r="O150" s="51">
        <v>3000</v>
      </c>
      <c r="P150" s="50" t="s">
        <v>495</v>
      </c>
      <c r="Q150" s="57">
        <v>34600</v>
      </c>
      <c r="R150" s="51">
        <v>25600</v>
      </c>
      <c r="S150" s="51">
        <v>0</v>
      </c>
      <c r="T150" s="51">
        <v>9000</v>
      </c>
      <c r="U150" s="58">
        <f t="shared" si="33"/>
        <v>34600</v>
      </c>
      <c r="V150" s="50"/>
      <c r="W150" s="59">
        <f>3000*12</f>
        <v>36000</v>
      </c>
      <c r="X150" s="59">
        <f>3000*12</f>
        <v>36000</v>
      </c>
      <c r="Y150" s="59">
        <f>3000*7</f>
        <v>21000</v>
      </c>
      <c r="Z150" s="50"/>
      <c r="AA150" s="50"/>
      <c r="AB150" s="50"/>
      <c r="AC150" s="67">
        <f t="shared" si="34"/>
        <v>85447.4355437915</v>
      </c>
      <c r="AD150" s="67">
        <f>AC150/3</f>
        <v>28482.4785145972</v>
      </c>
    </row>
    <row r="151" s="10" customFormat="1" spans="1:30">
      <c r="A151" s="28">
        <v>148</v>
      </c>
      <c r="B151" s="29" t="s">
        <v>573</v>
      </c>
      <c r="C151" s="29" t="s">
        <v>594</v>
      </c>
      <c r="D151" s="30"/>
      <c r="E151" s="31" t="s">
        <v>41</v>
      </c>
      <c r="F151" s="32" t="s">
        <v>667</v>
      </c>
      <c r="G151" s="33" t="s">
        <v>668</v>
      </c>
      <c r="H151" s="31" t="s">
        <v>669</v>
      </c>
      <c r="I151" s="47">
        <v>42817</v>
      </c>
      <c r="J151" s="48" t="s">
        <v>670</v>
      </c>
      <c r="K151" s="49">
        <v>42856</v>
      </c>
      <c r="L151" s="49">
        <v>44926</v>
      </c>
      <c r="M151" s="50"/>
      <c r="N151" s="50" t="s">
        <v>62</v>
      </c>
      <c r="O151" s="51">
        <v>5400</v>
      </c>
      <c r="P151" s="50" t="s">
        <v>578</v>
      </c>
      <c r="Q151" s="57">
        <f>5400/1.05*9</f>
        <v>46285.7142857143</v>
      </c>
      <c r="R151" s="51">
        <f>5400/1.05*7</f>
        <v>36000</v>
      </c>
      <c r="S151" s="51"/>
      <c r="T151" s="51">
        <f>5400/1.05*5</f>
        <v>25714.2857142857</v>
      </c>
      <c r="U151" s="58">
        <f t="shared" si="33"/>
        <v>61714.2857142857</v>
      </c>
      <c r="V151" s="50"/>
      <c r="W151" s="59">
        <f>5700/1.05*12</f>
        <v>65142.8571428571</v>
      </c>
      <c r="X151" s="59">
        <f>5700/1.05*12</f>
        <v>65142.8571428571</v>
      </c>
      <c r="Y151" s="59">
        <f>6000/1.05*12</f>
        <v>68571.4285714286</v>
      </c>
      <c r="Z151" s="50">
        <f>6000/1.05*12</f>
        <v>68571.4285714286</v>
      </c>
      <c r="AA151" s="50"/>
      <c r="AB151" s="50"/>
      <c r="AC151" s="67">
        <f t="shared" si="34"/>
        <v>238171.826708581</v>
      </c>
      <c r="AD151" s="68">
        <f>AC151/4</f>
        <v>59542.9566771453</v>
      </c>
    </row>
    <row r="152" s="10" customFormat="1" spans="1:30">
      <c r="A152" s="28">
        <v>149</v>
      </c>
      <c r="B152" s="29" t="s">
        <v>573</v>
      </c>
      <c r="C152" s="29" t="s">
        <v>594</v>
      </c>
      <c r="D152" s="30"/>
      <c r="E152" s="31" t="s">
        <v>41</v>
      </c>
      <c r="F152" s="32" t="s">
        <v>671</v>
      </c>
      <c r="G152" s="33" t="s">
        <v>672</v>
      </c>
      <c r="H152" s="31" t="s">
        <v>673</v>
      </c>
      <c r="I152" s="47">
        <v>41912</v>
      </c>
      <c r="J152" s="48" t="s">
        <v>54</v>
      </c>
      <c r="K152" s="49">
        <v>41913</v>
      </c>
      <c r="L152" s="49">
        <v>43738</v>
      </c>
      <c r="M152" s="50"/>
      <c r="N152" s="50" t="s">
        <v>55</v>
      </c>
      <c r="O152" s="51">
        <v>6240</v>
      </c>
      <c r="P152" s="50" t="s">
        <v>495</v>
      </c>
      <c r="Q152" s="57">
        <f>6240*9</f>
        <v>56160</v>
      </c>
      <c r="R152" s="51">
        <v>74880</v>
      </c>
      <c r="S152" s="51"/>
      <c r="T152" s="51">
        <v>0</v>
      </c>
      <c r="U152" s="58">
        <f t="shared" si="33"/>
        <v>74880</v>
      </c>
      <c r="V152" s="50"/>
      <c r="W152" s="59">
        <f>6240*9</f>
        <v>56160</v>
      </c>
      <c r="X152" s="59"/>
      <c r="Y152" s="59"/>
      <c r="Z152" s="50"/>
      <c r="AA152" s="50"/>
      <c r="AB152" s="50"/>
      <c r="AC152" s="67">
        <f t="shared" si="34"/>
        <v>53613.3651551313</v>
      </c>
      <c r="AD152" s="67">
        <f>AC152/1</f>
        <v>53613.3651551313</v>
      </c>
    </row>
    <row r="153" s="10" customFormat="1" spans="1:29">
      <c r="A153" s="28">
        <v>150</v>
      </c>
      <c r="B153" s="29" t="s">
        <v>573</v>
      </c>
      <c r="C153" s="29" t="s">
        <v>642</v>
      </c>
      <c r="D153" s="30"/>
      <c r="E153" s="31" t="s">
        <v>41</v>
      </c>
      <c r="F153" s="32" t="s">
        <v>674</v>
      </c>
      <c r="G153" s="33" t="s">
        <v>675</v>
      </c>
      <c r="H153" s="31" t="s">
        <v>676</v>
      </c>
      <c r="I153" s="47">
        <v>42566</v>
      </c>
      <c r="J153" s="48" t="s">
        <v>677</v>
      </c>
      <c r="K153" s="49">
        <v>42566</v>
      </c>
      <c r="L153" s="49">
        <v>43190</v>
      </c>
      <c r="M153" s="50"/>
      <c r="N153" s="50" t="s">
        <v>62</v>
      </c>
      <c r="O153" s="51">
        <v>9769.5</v>
      </c>
      <c r="P153" s="50" t="s">
        <v>495</v>
      </c>
      <c r="Q153" s="57">
        <f>9769.5*3</f>
        <v>29308.5</v>
      </c>
      <c r="R153" s="51">
        <v>39078</v>
      </c>
      <c r="S153" s="51"/>
      <c r="T153" s="51"/>
      <c r="U153" s="58">
        <f t="shared" si="33"/>
        <v>39078</v>
      </c>
      <c r="V153" s="50"/>
      <c r="W153" s="59"/>
      <c r="X153" s="59"/>
      <c r="Y153" s="59"/>
      <c r="Z153" s="50"/>
      <c r="AA153" s="50"/>
      <c r="AB153" s="50"/>
      <c r="AC153" s="67">
        <f t="shared" si="34"/>
        <v>0</v>
      </c>
    </row>
    <row r="154" s="10" customFormat="1" spans="1:30">
      <c r="A154" s="28">
        <v>151</v>
      </c>
      <c r="B154" s="29" t="s">
        <v>573</v>
      </c>
      <c r="C154" s="29" t="s">
        <v>642</v>
      </c>
      <c r="D154" s="30"/>
      <c r="E154" s="31" t="s">
        <v>41</v>
      </c>
      <c r="F154" s="32" t="s">
        <v>678</v>
      </c>
      <c r="G154" s="33" t="s">
        <v>679</v>
      </c>
      <c r="H154" s="31" t="s">
        <v>680</v>
      </c>
      <c r="I154" s="47">
        <v>43191</v>
      </c>
      <c r="J154" s="48" t="s">
        <v>120</v>
      </c>
      <c r="K154" s="49">
        <v>43213</v>
      </c>
      <c r="L154" s="49">
        <v>43943</v>
      </c>
      <c r="M154" s="50"/>
      <c r="N154" s="50" t="s">
        <v>62</v>
      </c>
      <c r="O154" s="51">
        <v>8500</v>
      </c>
      <c r="P154" s="50" t="s">
        <v>578</v>
      </c>
      <c r="Q154" s="57">
        <f>8500/1.05*5</f>
        <v>40476.1904761905</v>
      </c>
      <c r="R154" s="51">
        <v>48571.44</v>
      </c>
      <c r="S154" s="51">
        <v>0</v>
      </c>
      <c r="T154" s="51">
        <f>8095.24*2</f>
        <v>16190.48</v>
      </c>
      <c r="U154" s="58">
        <f t="shared" si="33"/>
        <v>64761.92</v>
      </c>
      <c r="V154" s="50"/>
      <c r="W154" s="59">
        <f>8500/1.05*12</f>
        <v>97142.8571428571</v>
      </c>
      <c r="X154" s="59">
        <f>8500/1.05*4</f>
        <v>32380.9523809524</v>
      </c>
      <c r="Y154" s="59"/>
      <c r="Z154" s="50"/>
      <c r="AA154" s="50"/>
      <c r="AB154" s="50"/>
      <c r="AC154" s="67">
        <f t="shared" si="34"/>
        <v>122248.649974056</v>
      </c>
      <c r="AD154" s="67">
        <f t="shared" ref="AD154:AD157" si="40">AC154/2</f>
        <v>61124.324987028</v>
      </c>
    </row>
    <row r="155" s="10" customFormat="1" spans="1:30">
      <c r="A155" s="28">
        <v>152</v>
      </c>
      <c r="B155" s="29" t="s">
        <v>573</v>
      </c>
      <c r="C155" s="29" t="s">
        <v>582</v>
      </c>
      <c r="D155" s="30"/>
      <c r="E155" s="31" t="s">
        <v>41</v>
      </c>
      <c r="F155" s="32" t="s">
        <v>583</v>
      </c>
      <c r="G155" s="33" t="s">
        <v>681</v>
      </c>
      <c r="H155" s="31" t="s">
        <v>682</v>
      </c>
      <c r="I155" s="47">
        <v>42826</v>
      </c>
      <c r="J155" s="48" t="s">
        <v>69</v>
      </c>
      <c r="K155" s="49">
        <v>42826</v>
      </c>
      <c r="L155" s="49">
        <v>43921</v>
      </c>
      <c r="M155" s="50"/>
      <c r="N155" s="50" t="s">
        <v>55</v>
      </c>
      <c r="O155" s="51">
        <v>2799.33</v>
      </c>
      <c r="P155" s="50" t="s">
        <v>495</v>
      </c>
      <c r="Q155" s="57">
        <f>O155*0.35*9</f>
        <v>8817.8895</v>
      </c>
      <c r="R155" s="51">
        <v>8817.9</v>
      </c>
      <c r="S155" s="51"/>
      <c r="T155" s="51">
        <f>O155*0.35*3</f>
        <v>2939.2965</v>
      </c>
      <c r="U155" s="58">
        <f t="shared" si="33"/>
        <v>11757.1965</v>
      </c>
      <c r="V155" s="50"/>
      <c r="W155" s="59">
        <f>O155*12</f>
        <v>33591.96</v>
      </c>
      <c r="X155" s="59">
        <f>O155*3</f>
        <v>8397.99</v>
      </c>
      <c r="Y155" s="59"/>
      <c r="Z155" s="50"/>
      <c r="AA155" s="50"/>
      <c r="AB155" s="50"/>
      <c r="AC155" s="67">
        <f t="shared" si="34"/>
        <v>39722.3238418555</v>
      </c>
      <c r="AD155" s="67">
        <f t="shared" si="40"/>
        <v>19861.1619209278</v>
      </c>
    </row>
    <row r="156" s="10" customFormat="1" spans="1:30">
      <c r="A156" s="28">
        <v>153</v>
      </c>
      <c r="B156" s="29" t="s">
        <v>573</v>
      </c>
      <c r="C156" s="29" t="s">
        <v>587</v>
      </c>
      <c r="D156" s="30"/>
      <c r="E156" s="31" t="s">
        <v>41</v>
      </c>
      <c r="F156" s="32" t="s">
        <v>583</v>
      </c>
      <c r="G156" s="33" t="s">
        <v>683</v>
      </c>
      <c r="H156" s="31" t="s">
        <v>684</v>
      </c>
      <c r="I156" s="47">
        <v>42452</v>
      </c>
      <c r="J156" s="48" t="s">
        <v>69</v>
      </c>
      <c r="K156" s="49">
        <v>42466</v>
      </c>
      <c r="L156" s="49">
        <v>43560</v>
      </c>
      <c r="M156" s="50"/>
      <c r="N156" s="50" t="s">
        <v>62</v>
      </c>
      <c r="O156" s="51">
        <v>3700</v>
      </c>
      <c r="P156" s="50" t="s">
        <v>578</v>
      </c>
      <c r="Q156" s="57">
        <f>O156*9/1.05</f>
        <v>31714.2857142857</v>
      </c>
      <c r="R156" s="51">
        <v>11849.4</v>
      </c>
      <c r="S156" s="51">
        <v>2257.04</v>
      </c>
      <c r="T156" s="51">
        <f>O156/1.05*8</f>
        <v>28190.4761904762</v>
      </c>
      <c r="U156" s="58">
        <f t="shared" si="33"/>
        <v>42296.9161904762</v>
      </c>
      <c r="V156" s="50"/>
      <c r="W156" s="59">
        <f>O156/1.05*12</f>
        <v>42285.7142857143</v>
      </c>
      <c r="X156" s="59">
        <f>O156/1.05*4</f>
        <v>14095.2380952381</v>
      </c>
      <c r="Y156" s="59"/>
      <c r="Z156" s="50"/>
      <c r="AA156" s="50"/>
      <c r="AB156" s="50"/>
      <c r="AC156" s="67">
        <f t="shared" si="34"/>
        <v>53214.1182240008</v>
      </c>
      <c r="AD156" s="67">
        <f t="shared" si="40"/>
        <v>26607.0591120004</v>
      </c>
    </row>
    <row r="157" s="10" customFormat="1" spans="1:30">
      <c r="A157" s="28">
        <v>154</v>
      </c>
      <c r="B157" s="29" t="s">
        <v>573</v>
      </c>
      <c r="C157" s="29" t="s">
        <v>587</v>
      </c>
      <c r="D157" s="30"/>
      <c r="E157" s="31" t="s">
        <v>41</v>
      </c>
      <c r="F157" s="32" t="s">
        <v>583</v>
      </c>
      <c r="G157" s="33" t="s">
        <v>685</v>
      </c>
      <c r="H157" s="31" t="s">
        <v>686</v>
      </c>
      <c r="I157" s="47">
        <v>42887</v>
      </c>
      <c r="J157" s="48" t="s">
        <v>69</v>
      </c>
      <c r="K157" s="49">
        <v>42920</v>
      </c>
      <c r="L157" s="49">
        <v>44015</v>
      </c>
      <c r="M157" s="50"/>
      <c r="N157" s="50" t="s">
        <v>62</v>
      </c>
      <c r="O157" s="51">
        <v>7830</v>
      </c>
      <c r="P157" s="50" t="s">
        <v>578</v>
      </c>
      <c r="Q157" s="57">
        <f>O157*5/1.11+O157*4/1.1</f>
        <v>63742.9975429975</v>
      </c>
      <c r="R157" s="51">
        <v>52469.32</v>
      </c>
      <c r="S157" s="51">
        <v>11337.79</v>
      </c>
      <c r="T157" s="51">
        <f>O157/1.1*3</f>
        <v>21354.5454545455</v>
      </c>
      <c r="U157" s="58">
        <f t="shared" si="33"/>
        <v>85161.6554545455</v>
      </c>
      <c r="V157" s="50"/>
      <c r="W157" s="59">
        <f>O157/1.1*12</f>
        <v>85418.1818181818</v>
      </c>
      <c r="X157" s="59">
        <f>O157/1.1*7</f>
        <v>49827.2727272727</v>
      </c>
      <c r="Y157" s="59"/>
      <c r="Z157" s="50"/>
      <c r="AA157" s="50"/>
      <c r="AB157" s="50"/>
      <c r="AC157" s="67">
        <f t="shared" si="34"/>
        <v>126955.593264398</v>
      </c>
      <c r="AD157" s="67">
        <f t="shared" si="40"/>
        <v>63477.7966321988</v>
      </c>
    </row>
    <row r="158" s="10" customFormat="1" spans="1:29">
      <c r="A158" s="28">
        <v>155</v>
      </c>
      <c r="B158" s="29" t="s">
        <v>573</v>
      </c>
      <c r="C158" s="29" t="s">
        <v>608</v>
      </c>
      <c r="D158" s="30" t="s">
        <v>687</v>
      </c>
      <c r="E158" s="31" t="s">
        <v>41</v>
      </c>
      <c r="F158" s="32" t="s">
        <v>609</v>
      </c>
      <c r="G158" s="33" t="s">
        <v>688</v>
      </c>
      <c r="H158" s="31" t="s">
        <v>689</v>
      </c>
      <c r="I158" s="47">
        <v>42305</v>
      </c>
      <c r="J158" s="48" t="s">
        <v>69</v>
      </c>
      <c r="K158" s="49">
        <v>42309</v>
      </c>
      <c r="L158" s="49">
        <v>43404</v>
      </c>
      <c r="M158" s="50"/>
      <c r="N158" s="50" t="s">
        <v>62</v>
      </c>
      <c r="O158" s="51">
        <v>6380</v>
      </c>
      <c r="P158" s="50" t="s">
        <v>578</v>
      </c>
      <c r="Q158" s="57">
        <f>O158*9/1.05</f>
        <v>54685.7142857143</v>
      </c>
      <c r="R158" s="51">
        <v>32833.7</v>
      </c>
      <c r="S158" s="51">
        <v>21889.18</v>
      </c>
      <c r="T158" s="51">
        <f>O158/1.05*3</f>
        <v>18228.5714285714</v>
      </c>
      <c r="U158" s="58">
        <f t="shared" si="33"/>
        <v>72951.4514285714</v>
      </c>
      <c r="V158" s="50"/>
      <c r="W158" s="59"/>
      <c r="X158" s="59"/>
      <c r="Y158" s="59"/>
      <c r="Z158" s="50"/>
      <c r="AA158" s="50"/>
      <c r="AB158" s="50"/>
      <c r="AC158" s="67">
        <f t="shared" si="34"/>
        <v>0</v>
      </c>
    </row>
    <row r="159" s="10" customFormat="1" spans="1:30">
      <c r="A159" s="28">
        <v>156</v>
      </c>
      <c r="B159" s="29" t="s">
        <v>690</v>
      </c>
      <c r="C159" s="29" t="s">
        <v>691</v>
      </c>
      <c r="D159" s="30" t="s">
        <v>62</v>
      </c>
      <c r="E159" s="31" t="s">
        <v>692</v>
      </c>
      <c r="F159" s="32" t="s">
        <v>693</v>
      </c>
      <c r="G159" s="33" t="s">
        <v>694</v>
      </c>
      <c r="H159" s="31" t="s">
        <v>695</v>
      </c>
      <c r="I159" s="47">
        <v>42418</v>
      </c>
      <c r="J159" s="48">
        <v>5</v>
      </c>
      <c r="K159" s="49">
        <v>42418</v>
      </c>
      <c r="L159" s="49">
        <v>44244</v>
      </c>
      <c r="M159" s="50"/>
      <c r="N159" s="50" t="s">
        <v>696</v>
      </c>
      <c r="O159" s="51">
        <v>136079</v>
      </c>
      <c r="P159" s="50"/>
      <c r="Q159" s="57">
        <f>O159*9</f>
        <v>1224711</v>
      </c>
      <c r="R159" s="51">
        <v>985810.19</v>
      </c>
      <c r="S159" s="51">
        <v>180581.26</v>
      </c>
      <c r="T159" s="51">
        <f>O159*3/1.05</f>
        <v>388797.142857143</v>
      </c>
      <c r="U159" s="58">
        <f t="shared" si="33"/>
        <v>1555188.59285714</v>
      </c>
      <c r="V159" s="50"/>
      <c r="W159" s="59">
        <f>O159*12/1.05</f>
        <v>1555188.57142857</v>
      </c>
      <c r="X159" s="59">
        <f>O159/1.05+142883*11/1.05</f>
        <v>1626468.57142857</v>
      </c>
      <c r="Y159" s="59">
        <f>142883/1.05</f>
        <v>136079.047619048</v>
      </c>
      <c r="Z159" s="50"/>
      <c r="AA159" s="50"/>
      <c r="AB159" s="50"/>
      <c r="AC159" s="67">
        <f t="shared" si="34"/>
        <v>3085365.8830211</v>
      </c>
      <c r="AD159" s="67">
        <f>AC159/3</f>
        <v>1028455.29434037</v>
      </c>
    </row>
    <row r="160" s="10" customFormat="1" spans="1:29">
      <c r="A160" s="28">
        <v>157</v>
      </c>
      <c r="B160" s="29" t="s">
        <v>690</v>
      </c>
      <c r="C160" s="29" t="s">
        <v>697</v>
      </c>
      <c r="D160" s="30" t="s">
        <v>62</v>
      </c>
      <c r="E160" s="31" t="s">
        <v>692</v>
      </c>
      <c r="F160" s="32" t="s">
        <v>698</v>
      </c>
      <c r="G160" s="33" t="s">
        <v>699</v>
      </c>
      <c r="H160" s="31" t="s">
        <v>700</v>
      </c>
      <c r="I160" s="47">
        <v>42895</v>
      </c>
      <c r="J160" s="48" t="s">
        <v>83</v>
      </c>
      <c r="K160" s="49">
        <v>42901</v>
      </c>
      <c r="L160" s="49">
        <v>43265</v>
      </c>
      <c r="M160" s="50"/>
      <c r="N160" s="50" t="s">
        <v>62</v>
      </c>
      <c r="O160" s="51">
        <v>17500</v>
      </c>
      <c r="P160" s="50"/>
      <c r="Q160" s="57">
        <v>87500</v>
      </c>
      <c r="R160" s="51">
        <v>79526</v>
      </c>
      <c r="S160" s="51">
        <v>2975</v>
      </c>
      <c r="T160" s="51"/>
      <c r="U160" s="58">
        <v>82501</v>
      </c>
      <c r="V160" s="50"/>
      <c r="W160" s="59"/>
      <c r="X160" s="59"/>
      <c r="Y160" s="59"/>
      <c r="Z160" s="50"/>
      <c r="AA160" s="50"/>
      <c r="AB160" s="50"/>
      <c r="AC160" s="67">
        <f t="shared" si="34"/>
        <v>0</v>
      </c>
    </row>
    <row r="161" s="10" customFormat="1" spans="1:30">
      <c r="A161" s="28">
        <v>158</v>
      </c>
      <c r="B161" s="29" t="s">
        <v>690</v>
      </c>
      <c r="C161" s="29" t="s">
        <v>697</v>
      </c>
      <c r="D161" s="30" t="s">
        <v>62</v>
      </c>
      <c r="E161" s="31" t="s">
        <v>692</v>
      </c>
      <c r="F161" s="32" t="s">
        <v>698</v>
      </c>
      <c r="G161" s="33" t="s">
        <v>699</v>
      </c>
      <c r="H161" s="31" t="s">
        <v>700</v>
      </c>
      <c r="I161" s="47">
        <v>43264</v>
      </c>
      <c r="J161" s="48" t="s">
        <v>83</v>
      </c>
      <c r="K161" s="49">
        <v>43266</v>
      </c>
      <c r="L161" s="49">
        <v>43630</v>
      </c>
      <c r="M161" s="50"/>
      <c r="N161" s="50" t="s">
        <v>62</v>
      </c>
      <c r="O161" s="51">
        <v>17500</v>
      </c>
      <c r="P161" s="50"/>
      <c r="Q161" s="57">
        <v>70000</v>
      </c>
      <c r="R161" s="51">
        <v>55601.25</v>
      </c>
      <c r="S161" s="51">
        <v>11900</v>
      </c>
      <c r="T161" s="51">
        <v>50000</v>
      </c>
      <c r="U161" s="58">
        <v>117501.25</v>
      </c>
      <c r="V161" s="50"/>
      <c r="W161" s="59">
        <v>100000</v>
      </c>
      <c r="X161" s="59"/>
      <c r="Y161" s="59"/>
      <c r="Z161" s="50"/>
      <c r="AA161" s="50"/>
      <c r="AB161" s="50"/>
      <c r="AC161" s="67">
        <f t="shared" si="34"/>
        <v>95465.3937947494</v>
      </c>
      <c r="AD161" s="67">
        <f t="shared" ref="AD161:AD162" si="41">AC161/1</f>
        <v>95465.3937947494</v>
      </c>
    </row>
    <row r="162" s="10" customFormat="1" spans="1:30">
      <c r="A162" s="28">
        <v>159</v>
      </c>
      <c r="B162" s="29" t="s">
        <v>690</v>
      </c>
      <c r="C162" s="29" t="s">
        <v>701</v>
      </c>
      <c r="D162" s="30" t="s">
        <v>702</v>
      </c>
      <c r="E162" s="31" t="s">
        <v>692</v>
      </c>
      <c r="F162" s="32" t="s">
        <v>703</v>
      </c>
      <c r="G162" s="33" t="s">
        <v>704</v>
      </c>
      <c r="H162" s="31" t="s">
        <v>705</v>
      </c>
      <c r="I162" s="47">
        <v>41695</v>
      </c>
      <c r="J162" s="48" t="s">
        <v>54</v>
      </c>
      <c r="K162" s="49">
        <v>41699</v>
      </c>
      <c r="L162" s="49">
        <v>43585</v>
      </c>
      <c r="M162" s="50"/>
      <c r="N162" s="50" t="s">
        <v>706</v>
      </c>
      <c r="O162" s="51">
        <v>11275</v>
      </c>
      <c r="P162" s="50" t="s">
        <v>707</v>
      </c>
      <c r="Q162" s="57">
        <v>99508.32</v>
      </c>
      <c r="R162" s="51">
        <v>85414.57</v>
      </c>
      <c r="S162" s="51">
        <v>14093.75</v>
      </c>
      <c r="T162" s="51">
        <v>33825</v>
      </c>
      <c r="U162" s="58">
        <v>133333.32</v>
      </c>
      <c r="V162" s="50" t="s">
        <v>708</v>
      </c>
      <c r="W162" s="59">
        <v>45100</v>
      </c>
      <c r="X162" s="59"/>
      <c r="Y162" s="59"/>
      <c r="Z162" s="50"/>
      <c r="AA162" s="50"/>
      <c r="AB162" s="50"/>
      <c r="AC162" s="67">
        <f t="shared" si="34"/>
        <v>43054.892601432</v>
      </c>
      <c r="AD162" s="67">
        <f t="shared" si="41"/>
        <v>43054.892601432</v>
      </c>
    </row>
    <row r="163" s="10" customFormat="1" spans="1:30">
      <c r="A163" s="28">
        <v>160</v>
      </c>
      <c r="B163" s="29" t="s">
        <v>690</v>
      </c>
      <c r="C163" s="29" t="s">
        <v>709</v>
      </c>
      <c r="D163" s="30" t="s">
        <v>62</v>
      </c>
      <c r="E163" s="31" t="s">
        <v>692</v>
      </c>
      <c r="F163" s="32" t="s">
        <v>710</v>
      </c>
      <c r="G163" s="33" t="s">
        <v>711</v>
      </c>
      <c r="H163" s="31" t="s">
        <v>712</v>
      </c>
      <c r="I163" s="47">
        <v>42775</v>
      </c>
      <c r="J163" s="48" t="s">
        <v>54</v>
      </c>
      <c r="K163" s="49">
        <v>42776</v>
      </c>
      <c r="L163" s="49">
        <v>44601</v>
      </c>
      <c r="M163" s="50"/>
      <c r="N163" s="50" t="s">
        <v>62</v>
      </c>
      <c r="O163" s="51">
        <v>10000</v>
      </c>
      <c r="P163" s="50"/>
      <c r="Q163" s="57">
        <f>O163*9</f>
        <v>90000</v>
      </c>
      <c r="R163" s="51">
        <v>53863.44</v>
      </c>
      <c r="S163" s="51">
        <v>10434.84</v>
      </c>
      <c r="T163" s="51">
        <f>O163/1.05*4</f>
        <v>38095.2380952381</v>
      </c>
      <c r="U163" s="58">
        <f>R163+S163+T163</f>
        <v>102393.518095238</v>
      </c>
      <c r="V163" s="50" t="s">
        <v>713</v>
      </c>
      <c r="W163" s="59">
        <f>O163*12/1.05</f>
        <v>114285.714285714</v>
      </c>
      <c r="X163" s="59">
        <f>O163*12/1.05</f>
        <v>114285.714285714</v>
      </c>
      <c r="Y163" s="59">
        <f>O163*12/1.05</f>
        <v>114285.714285714</v>
      </c>
      <c r="Z163" s="50">
        <f>O163/1.05</f>
        <v>9523.80952380952</v>
      </c>
      <c r="AA163" s="50"/>
      <c r="AB163" s="50"/>
      <c r="AC163" s="67">
        <f t="shared" si="34"/>
        <v>320602.380421152</v>
      </c>
      <c r="AD163" s="68">
        <f>AC163/4</f>
        <v>80150.5951052879</v>
      </c>
    </row>
    <row r="164" s="10" customFormat="1" spans="1:30">
      <c r="A164" s="28">
        <v>161</v>
      </c>
      <c r="B164" s="29" t="s">
        <v>690</v>
      </c>
      <c r="C164" s="29" t="s">
        <v>714</v>
      </c>
      <c r="D164" s="30" t="s">
        <v>715</v>
      </c>
      <c r="E164" s="31" t="s">
        <v>692</v>
      </c>
      <c r="F164" s="32" t="s">
        <v>716</v>
      </c>
      <c r="G164" s="33" t="s">
        <v>717</v>
      </c>
      <c r="H164" s="31" t="s">
        <v>718</v>
      </c>
      <c r="I164" s="47">
        <v>42518</v>
      </c>
      <c r="J164" s="48" t="s">
        <v>69</v>
      </c>
      <c r="K164" s="49">
        <v>42536</v>
      </c>
      <c r="L164" s="49">
        <v>43630</v>
      </c>
      <c r="M164" s="50"/>
      <c r="N164" s="50" t="s">
        <v>62</v>
      </c>
      <c r="O164" s="51">
        <f>13333.33</f>
        <v>13333.33</v>
      </c>
      <c r="P164" s="50"/>
      <c r="Q164" s="57">
        <f>O164*9</f>
        <v>119999.97</v>
      </c>
      <c r="R164" s="51">
        <v>36946.27</v>
      </c>
      <c r="S164" s="51">
        <v>8781.85</v>
      </c>
      <c r="T164" s="51">
        <f>O164*3/1.05</f>
        <v>38095.2285714286</v>
      </c>
      <c r="U164" s="58">
        <f>R164+S164+T164</f>
        <v>83823.3485714286</v>
      </c>
      <c r="V164" s="50" t="s">
        <v>719</v>
      </c>
      <c r="W164" s="59">
        <f>O164*5/1.05</f>
        <v>63492.0476190476</v>
      </c>
      <c r="X164" s="59"/>
      <c r="Y164" s="59"/>
      <c r="Z164" s="50"/>
      <c r="AA164" s="50"/>
      <c r="AB164" s="50"/>
      <c r="AC164" s="67">
        <f t="shared" si="34"/>
        <v>60612.9332878736</v>
      </c>
      <c r="AD164" s="67">
        <f>AC164/1</f>
        <v>60612.9332878736</v>
      </c>
    </row>
    <row r="165" s="10" customFormat="1" spans="1:30">
      <c r="A165" s="28">
        <v>162</v>
      </c>
      <c r="B165" s="29" t="s">
        <v>690</v>
      </c>
      <c r="C165" s="29" t="s">
        <v>720</v>
      </c>
      <c r="D165" s="30" t="s">
        <v>62</v>
      </c>
      <c r="E165" s="31" t="s">
        <v>692</v>
      </c>
      <c r="F165" s="32" t="s">
        <v>721</v>
      </c>
      <c r="G165" s="33" t="s">
        <v>722</v>
      </c>
      <c r="H165" s="31" t="s">
        <v>723</v>
      </c>
      <c r="I165" s="47">
        <v>42675</v>
      </c>
      <c r="J165" s="48" t="s">
        <v>54</v>
      </c>
      <c r="K165" s="49">
        <v>42675</v>
      </c>
      <c r="L165" s="49">
        <v>44500</v>
      </c>
      <c r="M165" s="50"/>
      <c r="N165" s="50" t="s">
        <v>62</v>
      </c>
      <c r="O165" s="51">
        <f>10065</f>
        <v>10065</v>
      </c>
      <c r="P165" s="50"/>
      <c r="Q165" s="57">
        <f>O165*9</f>
        <v>90585</v>
      </c>
      <c r="R165" s="51">
        <v>96287.45</v>
      </c>
      <c r="S165" s="51">
        <v>8676.7</v>
      </c>
      <c r="T165" s="51">
        <f>O165*3/1.05</f>
        <v>28757.1428571429</v>
      </c>
      <c r="U165" s="58">
        <f>R165+S165+T165</f>
        <v>133721.292857143</v>
      </c>
      <c r="V165" s="50" t="s">
        <v>724</v>
      </c>
      <c r="W165" s="59">
        <f>O165*12/1.05</f>
        <v>115028.571428571</v>
      </c>
      <c r="X165" s="59">
        <f>O165/1.05*10</f>
        <v>95857.1428571428</v>
      </c>
      <c r="Y165" s="59">
        <f>O165/1.05*2</f>
        <v>19171.4285714286</v>
      </c>
      <c r="Z165" s="50"/>
      <c r="AA165" s="50"/>
      <c r="AB165" s="50"/>
      <c r="AC165" s="67">
        <f t="shared" si="34"/>
        <v>213853.100595567</v>
      </c>
      <c r="AD165" s="67">
        <f>AC165/3</f>
        <v>71284.366865189</v>
      </c>
    </row>
    <row r="166" s="10" customFormat="1" spans="1:30">
      <c r="A166" s="28">
        <v>163</v>
      </c>
      <c r="B166" s="29" t="s">
        <v>690</v>
      </c>
      <c r="C166" s="29" t="s">
        <v>725</v>
      </c>
      <c r="D166" s="30" t="s">
        <v>62</v>
      </c>
      <c r="E166" s="31" t="s">
        <v>692</v>
      </c>
      <c r="F166" s="32" t="s">
        <v>726</v>
      </c>
      <c r="G166" s="33" t="s">
        <v>727</v>
      </c>
      <c r="H166" s="31" t="s">
        <v>728</v>
      </c>
      <c r="I166" s="47">
        <v>42803</v>
      </c>
      <c r="J166" s="48" t="s">
        <v>69</v>
      </c>
      <c r="K166" s="49">
        <v>42826</v>
      </c>
      <c r="L166" s="49">
        <v>43921</v>
      </c>
      <c r="M166" s="50"/>
      <c r="N166" s="50" t="s">
        <v>62</v>
      </c>
      <c r="O166" s="51">
        <v>3515.82</v>
      </c>
      <c r="P166" s="50"/>
      <c r="Q166" s="57">
        <f>O166*9</f>
        <v>31642.38</v>
      </c>
      <c r="R166" s="51">
        <v>30637.86</v>
      </c>
      <c r="S166" s="51">
        <f>O166/1.05*0*9</f>
        <v>0</v>
      </c>
      <c r="T166" s="51">
        <v>9542.94</v>
      </c>
      <c r="U166" s="58">
        <f>R166+S166+T166</f>
        <v>40180.8</v>
      </c>
      <c r="V166" s="50"/>
      <c r="W166" s="59">
        <f>O166*12/1.05</f>
        <v>40180.8</v>
      </c>
      <c r="X166" s="59">
        <f>O166/1.05*3</f>
        <v>10045.2</v>
      </c>
      <c r="Y166" s="59"/>
      <c r="Z166" s="50"/>
      <c r="AA166" s="50"/>
      <c r="AB166" s="50"/>
      <c r="AC166" s="67">
        <f t="shared" si="34"/>
        <v>47513.5940214512</v>
      </c>
      <c r="AD166" s="67">
        <f>AC166/2</f>
        <v>23756.7970107256</v>
      </c>
    </row>
    <row r="167" s="10" customFormat="1" spans="1:30">
      <c r="A167" s="28">
        <v>164</v>
      </c>
      <c r="B167" s="29" t="s">
        <v>690</v>
      </c>
      <c r="C167" s="29" t="s">
        <v>729</v>
      </c>
      <c r="D167" s="30" t="s">
        <v>62</v>
      </c>
      <c r="E167" s="31" t="s">
        <v>692</v>
      </c>
      <c r="F167" s="32" t="s">
        <v>693</v>
      </c>
      <c r="G167" s="33" t="s">
        <v>730</v>
      </c>
      <c r="H167" s="31" t="s">
        <v>731</v>
      </c>
      <c r="I167" s="47">
        <v>43372</v>
      </c>
      <c r="J167" s="48" t="s">
        <v>83</v>
      </c>
      <c r="K167" s="49">
        <v>43373</v>
      </c>
      <c r="L167" s="49">
        <v>43738</v>
      </c>
      <c r="M167" s="50"/>
      <c r="N167" s="50"/>
      <c r="O167" s="51">
        <v>15856.5</v>
      </c>
      <c r="P167" s="50"/>
      <c r="Q167" s="57">
        <v>0</v>
      </c>
      <c r="R167" s="51">
        <v>0</v>
      </c>
      <c r="S167" s="51">
        <v>0</v>
      </c>
      <c r="T167" s="51">
        <f>O167/1.05*3</f>
        <v>45304.2857142857</v>
      </c>
      <c r="U167" s="58">
        <f t="shared" ref="U167:U171" si="42">R167+S167+T167</f>
        <v>45304.2857142857</v>
      </c>
      <c r="V167" s="50"/>
      <c r="W167" s="59">
        <f>O167/1.05*9</f>
        <v>135912.857142857</v>
      </c>
      <c r="X167" s="59"/>
      <c r="Y167" s="59"/>
      <c r="Z167" s="50"/>
      <c r="AA167" s="50"/>
      <c r="AB167" s="50"/>
      <c r="AC167" s="67">
        <f t="shared" si="34"/>
        <v>129749.744289124</v>
      </c>
      <c r="AD167" s="67">
        <f>AC167/1</f>
        <v>129749.744289124</v>
      </c>
    </row>
    <row r="168" s="10" customFormat="1" spans="1:30">
      <c r="A168" s="28">
        <v>165</v>
      </c>
      <c r="B168" s="29" t="s">
        <v>690</v>
      </c>
      <c r="C168" s="29" t="s">
        <v>732</v>
      </c>
      <c r="D168" s="30" t="s">
        <v>733</v>
      </c>
      <c r="E168" s="31" t="s">
        <v>692</v>
      </c>
      <c r="F168" s="32" t="s">
        <v>734</v>
      </c>
      <c r="G168" s="33" t="s">
        <v>735</v>
      </c>
      <c r="H168" s="31" t="s">
        <v>736</v>
      </c>
      <c r="I168" s="47">
        <v>42989</v>
      </c>
      <c r="J168" s="48" t="s">
        <v>54</v>
      </c>
      <c r="K168" s="49">
        <v>42990</v>
      </c>
      <c r="L168" s="49">
        <v>44815</v>
      </c>
      <c r="M168" s="50"/>
      <c r="N168" s="50" t="s">
        <v>62</v>
      </c>
      <c r="O168" s="51">
        <v>13168</v>
      </c>
      <c r="P168" s="50"/>
      <c r="Q168" s="57">
        <f>O168*9</f>
        <v>118512</v>
      </c>
      <c r="R168" s="51">
        <v>93546.15</v>
      </c>
      <c r="S168" s="51">
        <v>8035.56</v>
      </c>
      <c r="T168" s="51">
        <f>O168*4/12</f>
        <v>4389.33333333333</v>
      </c>
      <c r="U168" s="58">
        <f t="shared" si="42"/>
        <v>105971.043333333</v>
      </c>
      <c r="V168" s="50"/>
      <c r="W168" s="59">
        <f>O168*12/1.05</f>
        <v>150491.428571429</v>
      </c>
      <c r="X168" s="59">
        <f>O168/1.05*2</f>
        <v>25081.9047619048</v>
      </c>
      <c r="Y168" s="59">
        <v>172618.98</v>
      </c>
      <c r="Z168" s="50">
        <v>133309.44</v>
      </c>
      <c r="AA168" s="50"/>
      <c r="AB168" s="50"/>
      <c r="AC168" s="67">
        <f t="shared" si="34"/>
        <v>427435.713869538</v>
      </c>
      <c r="AD168" s="68">
        <f>AC168/4</f>
        <v>106858.928467384</v>
      </c>
    </row>
    <row r="169" s="10" customFormat="1" spans="1:30">
      <c r="A169" s="28">
        <v>166</v>
      </c>
      <c r="B169" s="29" t="s">
        <v>690</v>
      </c>
      <c r="C169" s="29" t="s">
        <v>737</v>
      </c>
      <c r="D169" s="30" t="s">
        <v>62</v>
      </c>
      <c r="E169" s="31" t="s">
        <v>692</v>
      </c>
      <c r="F169" s="32" t="s">
        <v>693</v>
      </c>
      <c r="G169" s="33" t="s">
        <v>738</v>
      </c>
      <c r="H169" s="31" t="s">
        <v>731</v>
      </c>
      <c r="I169" s="47">
        <v>43372</v>
      </c>
      <c r="J169" s="48" t="s">
        <v>83</v>
      </c>
      <c r="K169" s="49">
        <v>43373</v>
      </c>
      <c r="L169" s="49">
        <v>43738</v>
      </c>
      <c r="M169" s="50"/>
      <c r="N169" s="50" t="s">
        <v>62</v>
      </c>
      <c r="O169" s="51">
        <v>4466.55</v>
      </c>
      <c r="P169" s="50"/>
      <c r="Q169" s="57">
        <v>0</v>
      </c>
      <c r="R169" s="51">
        <v>0</v>
      </c>
      <c r="S169" s="51">
        <v>0</v>
      </c>
      <c r="T169" s="51">
        <f>O169/1.05*3</f>
        <v>12761.5714285714</v>
      </c>
      <c r="U169" s="58">
        <f t="shared" si="42"/>
        <v>12761.5714285714</v>
      </c>
      <c r="V169" s="50"/>
      <c r="W169" s="59">
        <f>O169/1.05*9</f>
        <v>38284.7142857143</v>
      </c>
      <c r="X169" s="59"/>
      <c r="Y169" s="59"/>
      <c r="Z169" s="50"/>
      <c r="AA169" s="50"/>
      <c r="AB169" s="50"/>
      <c r="AC169" s="67">
        <f t="shared" si="34"/>
        <v>36548.6532560518</v>
      </c>
      <c r="AD169" s="67">
        <f>AC169/1</f>
        <v>36548.6532560518</v>
      </c>
    </row>
    <row r="170" s="10" customFormat="1" spans="1:29">
      <c r="A170" s="28">
        <v>167</v>
      </c>
      <c r="B170" s="29" t="s">
        <v>690</v>
      </c>
      <c r="C170" s="29" t="s">
        <v>739</v>
      </c>
      <c r="D170" s="30" t="s">
        <v>62</v>
      </c>
      <c r="E170" s="31" t="s">
        <v>692</v>
      </c>
      <c r="F170" s="32" t="s">
        <v>740</v>
      </c>
      <c r="G170" s="33" t="s">
        <v>741</v>
      </c>
      <c r="H170" s="31" t="s">
        <v>742</v>
      </c>
      <c r="I170" s="47">
        <v>41883</v>
      </c>
      <c r="J170" s="48" t="s">
        <v>69</v>
      </c>
      <c r="K170" s="49">
        <v>41883</v>
      </c>
      <c r="L170" s="49">
        <v>43708</v>
      </c>
      <c r="M170" s="50"/>
      <c r="N170" s="50" t="s">
        <v>62</v>
      </c>
      <c r="O170" s="51">
        <v>3162.5</v>
      </c>
      <c r="P170" s="50"/>
      <c r="Q170" s="57">
        <f>O170*8</f>
        <v>25300</v>
      </c>
      <c r="R170" s="51">
        <v>20148.25</v>
      </c>
      <c r="S170" s="51">
        <v>2411.95</v>
      </c>
      <c r="T170" s="51"/>
      <c r="U170" s="58">
        <f t="shared" si="42"/>
        <v>22560.2</v>
      </c>
      <c r="V170" s="50" t="s">
        <v>743</v>
      </c>
      <c r="W170" s="59">
        <v>0</v>
      </c>
      <c r="X170" s="59">
        <v>0</v>
      </c>
      <c r="Y170" s="59"/>
      <c r="Z170" s="50"/>
      <c r="AA170" s="50"/>
      <c r="AB170" s="50"/>
      <c r="AC170" s="67">
        <f t="shared" si="34"/>
        <v>0</v>
      </c>
    </row>
    <row r="171" s="10" customFormat="1" spans="1:30">
      <c r="A171" s="28">
        <v>168</v>
      </c>
      <c r="B171" s="29" t="s">
        <v>690</v>
      </c>
      <c r="C171" s="29" t="s">
        <v>739</v>
      </c>
      <c r="D171" s="30" t="s">
        <v>62</v>
      </c>
      <c r="E171" s="31" t="s">
        <v>692</v>
      </c>
      <c r="F171" s="32" t="s">
        <v>721</v>
      </c>
      <c r="G171" s="33" t="s">
        <v>744</v>
      </c>
      <c r="H171" s="31" t="s">
        <v>723</v>
      </c>
      <c r="I171" s="47">
        <v>43322</v>
      </c>
      <c r="J171" s="48" t="s">
        <v>69</v>
      </c>
      <c r="K171" s="49">
        <v>43322</v>
      </c>
      <c r="L171" s="49">
        <v>44417</v>
      </c>
      <c r="M171" s="50"/>
      <c r="N171" s="50" t="s">
        <v>62</v>
      </c>
      <c r="O171" s="51">
        <v>2873</v>
      </c>
      <c r="P171" s="50"/>
      <c r="Q171" s="57">
        <v>2873</v>
      </c>
      <c r="R171" s="51">
        <v>2301.92</v>
      </c>
      <c r="S171" s="51">
        <v>434.27</v>
      </c>
      <c r="T171" s="51">
        <f>O171*3/1.05</f>
        <v>8208.57142857143</v>
      </c>
      <c r="U171" s="58">
        <f t="shared" si="42"/>
        <v>10944.7614285714</v>
      </c>
      <c r="V171" s="50"/>
      <c r="W171" s="59">
        <f>O171*12/1.05</f>
        <v>32834.2857142857</v>
      </c>
      <c r="X171" s="59">
        <f>O171/1.05*2</f>
        <v>5472.38095238095</v>
      </c>
      <c r="Y171" s="59"/>
      <c r="Z171" s="50"/>
      <c r="AA171" s="50"/>
      <c r="AB171" s="50"/>
      <c r="AC171" s="67">
        <f t="shared" si="34"/>
        <v>36332.7119240335</v>
      </c>
      <c r="AD171" s="67">
        <f t="shared" ref="AD171:AD172" si="43">AC171/2</f>
        <v>18166.3559620167</v>
      </c>
    </row>
    <row r="172" s="10" customFormat="1" spans="1:30">
      <c r="A172" s="28">
        <v>169</v>
      </c>
      <c r="B172" s="29" t="s">
        <v>690</v>
      </c>
      <c r="C172" s="29" t="s">
        <v>739</v>
      </c>
      <c r="D172" s="30" t="s">
        <v>62</v>
      </c>
      <c r="E172" s="31" t="s">
        <v>692</v>
      </c>
      <c r="F172" s="32" t="s">
        <v>740</v>
      </c>
      <c r="G172" s="33" t="s">
        <v>745</v>
      </c>
      <c r="H172" s="31" t="s">
        <v>746</v>
      </c>
      <c r="I172" s="47">
        <v>43345</v>
      </c>
      <c r="J172" s="48" t="s">
        <v>69</v>
      </c>
      <c r="K172" s="49">
        <v>43345</v>
      </c>
      <c r="L172" s="49">
        <v>44440</v>
      </c>
      <c r="M172" s="50"/>
      <c r="N172" s="50" t="s">
        <v>62</v>
      </c>
      <c r="O172" s="51">
        <v>1250</v>
      </c>
      <c r="P172" s="50"/>
      <c r="Q172" s="57">
        <v>0</v>
      </c>
      <c r="R172" s="51"/>
      <c r="S172" s="51"/>
      <c r="T172" s="51">
        <f>O172*3/1.05</f>
        <v>3571.42857142857</v>
      </c>
      <c r="U172" s="58">
        <f t="shared" ref="U172" si="44">R172+S172+T172</f>
        <v>3571.42857142857</v>
      </c>
      <c r="V172" s="50" t="s">
        <v>747</v>
      </c>
      <c r="W172" s="59">
        <f>O172*12/1.05</f>
        <v>14285.7142857143</v>
      </c>
      <c r="X172" s="59">
        <f>O172/1.05*2</f>
        <v>2380.95238095238</v>
      </c>
      <c r="Y172" s="59"/>
      <c r="Z172" s="50"/>
      <c r="AA172" s="50"/>
      <c r="AB172" s="50"/>
      <c r="AC172" s="67">
        <f t="shared" si="34"/>
        <v>15807.8280212467</v>
      </c>
      <c r="AD172" s="67">
        <f t="shared" si="43"/>
        <v>7903.91401062336</v>
      </c>
    </row>
    <row r="174" spans="21:30">
      <c r="U174" s="69" t="s">
        <v>748</v>
      </c>
      <c r="V174" s="69">
        <f>SUM(W174:AB174)</f>
        <v>101188273.539488</v>
      </c>
      <c r="W174" s="69">
        <f>SUM(W4:W172)</f>
        <v>31883925.387533</v>
      </c>
      <c r="X174" s="69">
        <f t="shared" ref="X174:AD174" si="45">SUM(X4:X172)</f>
        <v>24366386.3712234</v>
      </c>
      <c r="Y174" s="69">
        <f t="shared" si="45"/>
        <v>18543461.6243858</v>
      </c>
      <c r="Z174" s="69">
        <f t="shared" si="45"/>
        <v>12719108.5121793</v>
      </c>
      <c r="AA174" s="69">
        <f t="shared" si="45"/>
        <v>7943570.8802376</v>
      </c>
      <c r="AB174" s="69">
        <f t="shared" si="45"/>
        <v>5731820.76392932</v>
      </c>
      <c r="AC174" s="70">
        <f t="shared" si="45"/>
        <v>85676436.9773092</v>
      </c>
      <c r="AD174" s="70">
        <f t="shared" si="45"/>
        <v>27818262.1154045</v>
      </c>
    </row>
    <row r="175" spans="30:30">
      <c r="AD175" s="71">
        <f>AC174/AD174</f>
        <v>3.07986302745582</v>
      </c>
    </row>
  </sheetData>
  <autoFilter xmlns:etc="http://www.wps.cn/officeDocument/2017/etCustomData" ref="A3:AD172" etc:filterBottomFollowUsedRange="0">
    <extLst/>
  </autoFilter>
  <mergeCells count="16">
    <mergeCell ref="B2:C2"/>
    <mergeCell ref="E2:F2"/>
    <mergeCell ref="Q2:V2"/>
    <mergeCell ref="W2:AB2"/>
    <mergeCell ref="A2:A3"/>
    <mergeCell ref="D2:D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F4"/>
  <sheetViews>
    <sheetView tabSelected="1" workbookViewId="0">
      <selection activeCell="D11" sqref="D10:D11"/>
    </sheetView>
  </sheetViews>
  <sheetFormatPr defaultColWidth="9" defaultRowHeight="13.5" outlineLevelRow="3" outlineLevelCol="5"/>
  <cols>
    <col min="1" max="1" width="7" customWidth="1"/>
    <col min="2" max="2" width="36.625" customWidth="1"/>
    <col min="3" max="3" width="20.25" style="1" customWidth="1"/>
    <col min="4" max="5" width="19.625" customWidth="1"/>
    <col min="6" max="6" width="26" customWidth="1"/>
  </cols>
  <sheetData>
    <row r="1" ht="57" customHeight="1" spans="1:6">
      <c r="A1" s="2" t="s">
        <v>749</v>
      </c>
      <c r="B1" s="2"/>
      <c r="C1" s="2"/>
      <c r="D1" s="2"/>
      <c r="E1" s="2"/>
      <c r="F1" s="2"/>
    </row>
    <row r="2" ht="45" customHeight="1" spans="1:6">
      <c r="A2" s="3" t="s">
        <v>0</v>
      </c>
      <c r="B2" s="4" t="s">
        <v>750</v>
      </c>
      <c r="C2" s="4" t="s">
        <v>751</v>
      </c>
      <c r="D2" s="4" t="s">
        <v>752</v>
      </c>
      <c r="E2" s="4" t="s">
        <v>753</v>
      </c>
      <c r="F2" s="4" t="s">
        <v>26</v>
      </c>
    </row>
    <row r="3" ht="84" customHeight="1" spans="1:6">
      <c r="A3" s="5">
        <v>1</v>
      </c>
      <c r="B3" s="6" t="s">
        <v>754</v>
      </c>
      <c r="C3" s="7" t="s">
        <v>755</v>
      </c>
      <c r="D3" s="7" t="s">
        <v>756</v>
      </c>
      <c r="E3" s="8" t="s">
        <v>757</v>
      </c>
      <c r="F3" s="4" t="s">
        <v>758</v>
      </c>
    </row>
    <row r="4" spans="1:4">
      <c r="A4" s="9" t="s">
        <v>759</v>
      </c>
      <c r="B4" s="9"/>
      <c r="C4" s="9"/>
      <c r="D4" s="9"/>
    </row>
  </sheetData>
  <mergeCells count="2">
    <mergeCell ref="A1:F1"/>
    <mergeCell ref="A4:D4"/>
  </mergeCells>
  <pageMargins left="1.81041666666667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租赁型承诺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严念</cp:lastModifiedBy>
  <dcterms:created xsi:type="dcterms:W3CDTF">2006-09-13T11:21:00Z</dcterms:created>
  <dcterms:modified xsi:type="dcterms:W3CDTF">2025-03-13T09:35:17Z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C398F38D37434FB18E841034CEAACA63_13</vt:lpwstr>
  </property>
</Properties>
</file>