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firstSheet="3" activeTab="6"/>
  </bookViews>
  <sheets>
    <sheet name="附件1  架空线路工程" sheetId="7" r:id="rId1"/>
    <sheet name="附件2-1   变电工程机械化评价表" sheetId="5" r:id="rId2"/>
    <sheet name="附件2-2  变电工程装配化率评价表" sheetId="4" r:id="rId3"/>
    <sheet name="附件3  电缆工程" sheetId="8" r:id="rId4"/>
    <sheet name="附件4-1  配电房（含箱式变、户外开关箱）" sheetId="9" r:id="rId5"/>
    <sheet name="附件4-5  纯自动化工程-（柱上开关）" sheetId="14" r:id="rId6"/>
    <sheet name="附件5  海缆工程" sheetId="10" r:id="rId7"/>
  </sheets>
  <calcPr calcId="144525"/>
</workbook>
</file>

<file path=xl/sharedStrings.xml><?xml version="1.0" encoding="utf-8"?>
<sst xmlns="http://schemas.openxmlformats.org/spreadsheetml/2006/main" count="312" uniqueCount="200">
  <si>
    <t>架空线路工程机械化率评价表</t>
  </si>
  <si>
    <t>序号</t>
  </si>
  <si>
    <t>工序</t>
  </si>
  <si>
    <t>子工序</t>
  </si>
  <si>
    <t>使用机械评分</t>
  </si>
  <si>
    <t>实际得分</t>
  </si>
  <si>
    <t>子工序
工序机械化率</t>
  </si>
  <si>
    <t>工序
机械化率</t>
  </si>
  <si>
    <t>名称</t>
  </si>
  <si>
    <t>权重</t>
  </si>
  <si>
    <t>物料运输</t>
  </si>
  <si>
    <t>1.1分：索道自动上下料装置、遥控索道牵引机、重型索道、多地形多功能运输车、电动山地双轨运输车、塔材运输车、步履式多功能作业车等新型先进装备</t>
  </si>
  <si>
    <t>基础</t>
  </si>
  <si>
    <t>开挖</t>
  </si>
  <si>
    <t>0.8分：分体式钻孔机、机械洛阳铲、潜水钻机、回转钻机、磨盘钻机、岩石开裂机、一体化开挖设备、冲孔打桩机、冲抓钻孔机、空压机</t>
  </si>
  <si>
    <t>钢筋笼加工</t>
  </si>
  <si>
    <t>1.1分：新型全自动一体机等先进装备</t>
  </si>
  <si>
    <t>浇筑</t>
  </si>
  <si>
    <t>1.1分：新型混凝土拌制、运输装备等先进装备</t>
  </si>
  <si>
    <t>组塔</t>
  </si>
  <si>
    <t>塔材吊装</t>
  </si>
  <si>
    <t>0.8分：落地摇/平臂抱杆、人字抱杆+双卷筒绞磨（拉线塔）、悬浮抱杆</t>
  </si>
  <si>
    <t>塔材组片</t>
  </si>
  <si>
    <t>1.1分：塔材组片专用装备、地形起重机、履带式电建起重机、ZTH系列电建多功能作业车等新型先进装备</t>
  </si>
  <si>
    <t>塔材紧固</t>
  </si>
  <si>
    <t>1.0分：电动扭矩扳手、液压扭矩扳手、气动扭矩扳手</t>
  </si>
  <si>
    <t>架线</t>
  </si>
  <si>
    <t>放线</t>
  </si>
  <si>
    <t>0.8分：气球、遥控飞艇、牵张设备、跨越架、承载索封网跨越架</t>
  </si>
  <si>
    <t>提线紧线</t>
  </si>
  <si>
    <t>1.1分：卡线器推送机器人、弧垂观测机器人等新型先进装备</t>
  </si>
  <si>
    <t>导线压接</t>
  </si>
  <si>
    <t>1.0分：全自动压接机、全自动液压切线机、全自动断线钳、自动化压接平台</t>
  </si>
  <si>
    <t>附件安装</t>
  </si>
  <si>
    <t>0.4分：提线器、机动绞磨</t>
  </si>
  <si>
    <t>标段机械化率</t>
  </si>
  <si>
    <t>变电工程机械化率评价表</t>
  </si>
  <si>
    <t>场平</t>
  </si>
  <si>
    <t>1.1分：智能化多功能机等新型先进装备、带GPS定位功能的各类新型设备</t>
  </si>
  <si>
    <t>土建</t>
  </si>
  <si>
    <t>地基处理与基坑开挖</t>
  </si>
  <si>
    <t>1.1分：激光整平机、带GPS定位功能的各类桩机等新型先进装备</t>
  </si>
  <si>
    <t>基础施工</t>
  </si>
  <si>
    <t>1.1分：新型模具加固装置等新型先进装备</t>
  </si>
  <si>
    <t>建筑物</t>
  </si>
  <si>
    <t>1.0分：基于装配式方案的流动式起重机、剪叉式升降平台、曲臂升降车、电动扳手、直臂高空作业车</t>
  </si>
  <si>
    <t>构筑物</t>
  </si>
  <si>
    <t>1.1分：新型模具和加固装置、预制围墙运输安装一体机等新型先进装备、激光整平机等新型先进装备</t>
  </si>
  <si>
    <t>构支架</t>
  </si>
  <si>
    <t>1.0分：流动式起重机、电动扳手、曲臂升降车、直臂高空作业车</t>
  </si>
  <si>
    <t>安装</t>
  </si>
  <si>
    <t>大件就位</t>
  </si>
  <si>
    <t>1.0分：牵引车、液压顶推装备</t>
  </si>
  <si>
    <t>主变附件安装</t>
  </si>
  <si>
    <t>1.1分：高处作业平台车等新型先进装备</t>
  </si>
  <si>
    <t>真空注油及热油循环</t>
  </si>
  <si>
    <t>1.0分: 滤油机、抽真空机</t>
  </si>
  <si>
    <t>主变试验</t>
  </si>
  <si>
    <t>1.1分：电力变压器感应耐压及局放试验车、集装箱式油化试验室等新型先进装备</t>
  </si>
  <si>
    <t>组合电器就位</t>
  </si>
  <si>
    <t>1.1分：GIS/HGIS 设备整体就位装备、橡胶履带式机械化平台、气垫运输设备、HGIS设备安装智能运输就位装备等新型先进装备</t>
  </si>
  <si>
    <t>组合电器组装</t>
  </si>
  <si>
    <t>1.0 分：智能防尘棚、带逆止阀真空泵、SF6 回收装置、SF6 气体充气装置、充气式无尘化安装棚、GIS、HGIS通用试验套管、高处作业平台车、行车吊、流动式起重机、微型履带起重机、曲臂升降车、直臂高空作业车</t>
  </si>
  <si>
    <t>组合电器试验</t>
  </si>
  <si>
    <t>1.0 分：组合式谐振耐压试验装置、模块化试验装置</t>
  </si>
  <si>
    <t>二次设备安装</t>
  </si>
  <si>
    <t>1.1分：新型先进装备、智能冲钻孔装备</t>
  </si>
  <si>
    <t>二次电缆施工</t>
  </si>
  <si>
    <t>1.1分：大截面动力电缆输送装置等新型先进装备</t>
  </si>
  <si>
    <t>机械化率</t>
  </si>
  <si>
    <t>变电站工程总体机械化率</t>
  </si>
  <si>
    <t>变电工程装配化率评价表</t>
  </si>
  <si>
    <t>评价项</t>
  </si>
  <si>
    <t>评价分值</t>
  </si>
  <si>
    <t>参考典型预制部品部件</t>
  </si>
  <si>
    <t>子项装配率</t>
  </si>
  <si>
    <t>单体装配率</t>
  </si>
  <si>
    <t>控制楼或阀厅</t>
  </si>
  <si>
    <t>柱、支撑、承重墙等竖向构件</t>
  </si>
  <si>
    <t>钢管格构柱/H型、方型钢柱/钢筋混凝土预制柱/预制装配式钢节点混合框架结构</t>
  </si>
  <si>
    <t>梁</t>
  </si>
  <si>
    <t>H型钢梁/钢筋混凝土预制梁/钢梁/钢网架结构</t>
  </si>
  <si>
    <t>楼面板</t>
  </si>
  <si>
    <t>压型钢板+现浇钢筋混凝土组合楼板/预制板+现浇钢筋混凝土叠合楼板/预制叠合板/压型钢板/钢筋桁架楼承板</t>
  </si>
  <si>
    <t>屋面板</t>
  </si>
  <si>
    <t>墙体</t>
  </si>
  <si>
    <t>外墙：复合墙板/集成墙体/压型钢板/UHPC（超高性能混凝土板）
内墙：ALC轻质墙板/轻质复合实芯墙板/压型钢板</t>
  </si>
  <si>
    <t>GIS（HGIS）设备室</t>
  </si>
  <si>
    <t>钢管格构柱/H型、方型钢柱/钢筋混凝土预制柱/预制装配式钢节点混合框架柱</t>
  </si>
  <si>
    <t>钢梁/钢网架结构/钢屋架结构/预制装配式钢节点混合框架梁</t>
  </si>
  <si>
    <t>压型钢板+现浇钢筋混凝土组合楼板/预制板+现浇钢筋混凝土叠合楼板/预制叠合板/压型钢板</t>
  </si>
  <si>
    <t>继电保护室</t>
  </si>
  <si>
    <t>柱、梁、承重墙等结构件</t>
  </si>
  <si>
    <t>钢管格构梁柱/H型、方型钢梁柱/钢筋混凝土预制梁柱/预制装配式钢节点混合框架梁柱</t>
  </si>
  <si>
    <t>围墙</t>
  </si>
  <si>
    <t>\</t>
  </si>
  <si>
    <t>预制装配式</t>
  </si>
  <si>
    <t>构筑物基础</t>
  </si>
  <si>
    <t>支架（设备）基础</t>
  </si>
  <si>
    <t>主变防火墙</t>
  </si>
  <si>
    <t>电缆沟</t>
  </si>
  <si>
    <t>沟道</t>
  </si>
  <si>
    <t>压顶</t>
  </si>
  <si>
    <t>盖板</t>
  </si>
  <si>
    <t>事故油池</t>
  </si>
  <si>
    <t>污水处理设施</t>
  </si>
  <si>
    <t>预制装配式/一体化成品设备</t>
  </si>
  <si>
    <t>警传室</t>
  </si>
  <si>
    <t>预制装配式/预制舱</t>
  </si>
  <si>
    <t>消防小室</t>
  </si>
  <si>
    <t>雨淋阀间</t>
  </si>
  <si>
    <t>预制装配式/预制舱/型钢结构</t>
  </si>
  <si>
    <t>其他</t>
  </si>
  <si>
    <t>建筑物散水</t>
  </si>
  <si>
    <t>路缘石</t>
  </si>
  <si>
    <t>路灯基础</t>
  </si>
  <si>
    <t>给排水检查井</t>
  </si>
  <si>
    <t>总装配率</t>
  </si>
  <si>
    <t>变电站工程总体装配化率</t>
  </si>
  <si>
    <t>补充说明:对于建设规模中确定不涉及的相关建（构）筑物，按照满分进行计算。</t>
  </si>
  <si>
    <t>电缆工程机械化率评价表</t>
  </si>
  <si>
    <t>土建施工</t>
  </si>
  <si>
    <t>井室支护结构</t>
  </si>
  <si>
    <t>0.8分：基于排桩体系支护技术的正、反循环钻机，配合挖掘机、装载机；基于锚喷技术的挖掘机、水磨钻机、龙门吊</t>
  </si>
  <si>
    <t>井室主体结构</t>
  </si>
  <si>
    <t>1.1分：先进的专用起重机</t>
  </si>
  <si>
    <t>通道支护结构</t>
  </si>
  <si>
    <t>0.2分：人工开挖+电瓶车出渣+喷锚（暗挖）</t>
  </si>
  <si>
    <t>通道主体结构</t>
  </si>
  <si>
    <t>1.1分：浅埋暗挖台车、盾构机、顶管机等小型化、集成化装备</t>
  </si>
  <si>
    <t>电缆敷设施工</t>
  </si>
  <si>
    <t>电缆运输吊装</t>
  </si>
  <si>
    <t>0.0分：人工搬运</t>
  </si>
  <si>
    <t>电缆盘架设</t>
  </si>
  <si>
    <t>1.0分：展放支架具备驱动、制动联动功能</t>
  </si>
  <si>
    <t>电缆展放</t>
  </si>
  <si>
    <t>1.1分：电缆敷设智能化控制装备等</t>
  </si>
  <si>
    <t>电缆就位</t>
  </si>
  <si>
    <t>1.0分：专用电缆提升就位装置</t>
  </si>
  <si>
    <t>配电房（含箱式变、户外开关箱）机械化率评价表</t>
  </si>
  <si>
    <t>1.1分：直升机/无人机物料吊运、机器狼、索道自动上下料装置、遥控索道牵引机、重型索道、多地形多功能运输车、电动山地双轨运输车、塔材运输车、步履式多功能作业车等新型先进装备</t>
  </si>
  <si>
    <t>施工测量与基础开挖及地基处理作业</t>
  </si>
  <si>
    <t>1.1分：激光整平机、钻孔立杆一体机等先进设备。</t>
  </si>
  <si>
    <t>钢筋混凝土框架结构</t>
  </si>
  <si>
    <t>1.0分：全站仪、流动式起重机、高空作业车、钢筋调直机、钢筋切断机、弯箍机、钢筋捆扎机、钢筋绑扎机、混凝土泵车、光学/激光铅垂仪、激光水平仪</t>
  </si>
  <si>
    <t>装修装饰</t>
  </si>
  <si>
    <t>1.1分：采用机器人（自动钻孔、自动砌砖、自动抹灰）进行砌筑作业、喷涂机器人等先进设备</t>
  </si>
  <si>
    <t>钢结构/装配式（预制件）结构</t>
  </si>
  <si>
    <t>1.1分：新型推移支撑机械（千斤顶+滑轨同步推顶）、自动焊接机器人等先进设备</t>
  </si>
  <si>
    <t>防雷与接地作业</t>
  </si>
  <si>
    <t>1.1分：高处作业平台车、钻孔立杆一体机、接地装置电动压接机、专用接地挖掘机等先进设备</t>
  </si>
  <si>
    <t>设备安装</t>
  </si>
  <si>
    <t>1.1分：车载微型电动吊运机器、工器具楼梯搬运装置等新型先进装备</t>
  </si>
  <si>
    <t>设备及地网试验</t>
  </si>
  <si>
    <t>1.0分:万用表、钳表、微安表、接地摇表、电阻表、变比测试仪、试验变压器、控制操作箱（调压器）、回路电阻测试仪、机械特性测试仪、温湿度计</t>
  </si>
  <si>
    <t>线缆敷设及接线作业</t>
  </si>
  <si>
    <t>1.1分：新型先进装备</t>
  </si>
  <si>
    <t>配网自动化通信安装作业</t>
  </si>
  <si>
    <t>1.0分：笔记本电脑、测试仪表、绝缘电阻表</t>
  </si>
  <si>
    <t>配电房工程装配率评价</t>
  </si>
  <si>
    <t>备注</t>
  </si>
  <si>
    <t>钢筋混凝土预制件/钢结构</t>
  </si>
  <si>
    <t>梁/设备基础圈梁</t>
  </si>
  <si>
    <t>现浇钢筋混凝土组合楼板、预制板+现浇钢筋混凝土叠合楼板、预制叠合板</t>
  </si>
  <si>
    <t>复合墙板、集成墙体</t>
  </si>
  <si>
    <t>装配率</t>
  </si>
  <si>
    <t>装配率（%）=（Σ评价项实际得分/评价项总分值）×100%
其中：
（1）实际得分=评价项使用预制部品部件比例×该评价项分值；
（2）工厂预装式（预制舱式）配电房，装配率直接取100%。</t>
  </si>
  <si>
    <t>单项工程机械化率</t>
  </si>
  <si>
    <t>纯自动化工程-（柱上开关）机械化率评价表</t>
  </si>
  <si>
    <t>使用机械评分标准</t>
  </si>
  <si>
    <t>基坑开挖</t>
  </si>
  <si>
    <t>1.0分：分体式钻孔机、旋挖钻机、螺旋钻机、螺旋锚钻机、岩石锚杆钻机、挖掘机或（挖掘机+辅助排水设备）、静压打桩机、冲孔钻机、深基坑一体机、履带式液压钻机</t>
  </si>
  <si>
    <t>接地</t>
  </si>
  <si>
    <t>1.1分：钻孔立杆一体机、接地装置电动压接机、专用接地挖掘机等先进设备</t>
  </si>
  <si>
    <t>杆塔</t>
  </si>
  <si>
    <t>杆/塔组立</t>
  </si>
  <si>
    <t>0.4分：落地摇/平臂抱杆、抱杆+双卷筒绞磨（拉线塔）、悬浮抱杆、铝合金三脚架立杆机</t>
  </si>
  <si>
    <t>横担/金具安装</t>
  </si>
  <si>
    <t>1.0分：高空作业车、电动液压冲孔机</t>
  </si>
  <si>
    <t>电气设备安装</t>
  </si>
  <si>
    <t>设备吊装</t>
  </si>
  <si>
    <t>1.1分：电动葫芦、开关自动安装机器人等先进设备。</t>
  </si>
  <si>
    <t>1.0分：全自动压接机、半自动液压压接机</t>
  </si>
  <si>
    <t>海缆工程机械化率评价表</t>
  </si>
  <si>
    <t>海缆敷设施工</t>
  </si>
  <si>
    <t>路由扫海</t>
  </si>
  <si>
    <t>1.1分：动力定位船、扫海锚、USBL（水下定位装置）</t>
  </si>
  <si>
    <t>海缆运输</t>
  </si>
  <si>
    <t>1.1分：自航式敷缆船</t>
  </si>
  <si>
    <t>近岸段登陆</t>
  </si>
  <si>
    <t>1.1分：非开挖式穿孔</t>
  </si>
  <si>
    <t>路由敷设</t>
  </si>
  <si>
    <t>1.1分：敷缆船（带DP2及以上动力定位）、埋设犁、USBL、应力监测装置、监测装置、海底电缆敷设布缆机</t>
  </si>
  <si>
    <t>海缆埋设情况复测</t>
  </si>
  <si>
    <t>1.1分：多波束检测系统、水下机器人、动力定位船、管线仪</t>
  </si>
  <si>
    <t>终端头制作</t>
  </si>
  <si>
    <t>1.0分：吊机+脚手架+手工制作</t>
  </si>
  <si>
    <t>海缆保护施工</t>
  </si>
  <si>
    <t>海缆保护</t>
  </si>
  <si>
    <t>1.1分：切割挖槽水下机器人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</si>
</sst>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4"/>
      <color theme="1"/>
      <name val="方正小标宋_GBK"/>
      <charset val="134"/>
    </font>
    <font>
      <b/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仿宋_GB2312"/>
      <charset val="134"/>
    </font>
    <font>
      <b/>
      <sz val="11"/>
      <color theme="1"/>
      <name val="仿宋_GB2312"/>
      <charset val="134"/>
    </font>
    <font>
      <b/>
      <sz val="14"/>
      <color theme="1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34"/>
    </font>
    <font>
      <sz val="11"/>
      <name val="仿宋_GB2312"/>
      <charset val="134"/>
    </font>
    <font>
      <b/>
      <sz val="11"/>
      <name val="仿宋_GB2312"/>
      <charset val="134"/>
    </font>
    <font>
      <sz val="11"/>
      <name val="黑体"/>
      <charset val="134"/>
    </font>
    <font>
      <b/>
      <sz val="14"/>
      <color theme="1"/>
      <name val="仿宋_GB2312"/>
      <charset val="134"/>
    </font>
    <font>
      <b/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17" applyNumberFormat="0" applyFon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9" fillId="11" borderId="20" applyNumberFormat="0" applyAlignment="0" applyProtection="0">
      <alignment vertical="center"/>
    </xf>
    <xf numFmtId="0" fontId="30" fillId="11" borderId="16" applyNumberFormat="0" applyAlignment="0" applyProtection="0">
      <alignment vertical="center"/>
    </xf>
    <xf numFmtId="0" fontId="31" fillId="12" borderId="2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3" fillId="0" borderId="23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10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9" fontId="0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/>
    </xf>
    <xf numFmtId="9" fontId="4" fillId="0" borderId="2" xfId="0" applyNumberFormat="1" applyFont="1" applyFill="1" applyBorder="1" applyAlignment="1">
      <alignment horizontal="center" vertical="center"/>
    </xf>
    <xf numFmtId="9" fontId="4" fillId="0" borderId="4" xfId="0" applyNumberFormat="1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0" fontId="8" fillId="0" borderId="0" xfId="0" applyFont="1" applyAlignment="1">
      <alignment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0" fontId="8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</xf>
    <xf numFmtId="0" fontId="13" fillId="0" borderId="6" xfId="0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/>
    </xf>
    <xf numFmtId="0" fontId="10" fillId="0" borderId="7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7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left" vertical="center" wrapText="1"/>
    </xf>
    <xf numFmtId="0" fontId="8" fillId="0" borderId="9" xfId="0" applyFont="1" applyFill="1" applyBorder="1" applyAlignment="1" applyProtection="1">
      <alignment horizontal="left" vertical="center" wrapText="1"/>
    </xf>
    <xf numFmtId="0" fontId="8" fillId="0" borderId="10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left" vertical="center" wrapText="1"/>
    </xf>
    <xf numFmtId="0" fontId="8" fillId="0" borderId="0" xfId="0" applyFont="1" applyFill="1" applyAlignment="1" applyProtection="1">
      <alignment horizontal="left" vertical="center" wrapText="1"/>
    </xf>
    <xf numFmtId="0" fontId="8" fillId="0" borderId="12" xfId="0" applyFont="1" applyFill="1" applyBorder="1" applyAlignment="1" applyProtection="1">
      <alignment horizontal="left" vertical="center" wrapText="1"/>
    </xf>
    <xf numFmtId="0" fontId="8" fillId="0" borderId="13" xfId="0" applyFont="1" applyFill="1" applyBorder="1" applyAlignment="1" applyProtection="1">
      <alignment horizontal="left" vertical="center" wrapText="1"/>
    </xf>
    <xf numFmtId="0" fontId="8" fillId="0" borderId="14" xfId="0" applyFont="1" applyFill="1" applyBorder="1" applyAlignment="1" applyProtection="1">
      <alignment horizontal="left" vertical="center" wrapText="1"/>
    </xf>
    <xf numFmtId="0" fontId="8" fillId="0" borderId="15" xfId="0" applyFont="1" applyFill="1" applyBorder="1" applyAlignment="1" applyProtection="1">
      <alignment horizontal="left" vertical="center" wrapText="1"/>
    </xf>
    <xf numFmtId="0" fontId="10" fillId="0" borderId="8" xfId="0" applyFont="1" applyFill="1" applyBorder="1" applyAlignment="1" applyProtection="1">
      <alignment horizontal="center" vertical="center"/>
    </xf>
    <xf numFmtId="0" fontId="10" fillId="0" borderId="9" xfId="0" applyFont="1" applyFill="1" applyBorder="1" applyAlignment="1" applyProtection="1">
      <alignment horizontal="center" vertical="center"/>
    </xf>
    <xf numFmtId="0" fontId="10" fillId="0" borderId="10" xfId="0" applyFont="1" applyFill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/>
    </xf>
    <xf numFmtId="0" fontId="10" fillId="0" borderId="14" xfId="0" applyFont="1" applyFill="1" applyBorder="1" applyAlignment="1" applyProtection="1">
      <alignment horizontal="center" vertical="center"/>
    </xf>
    <xf numFmtId="0" fontId="10" fillId="0" borderId="15" xfId="0" applyFont="1" applyFill="1" applyBorder="1" applyAlignment="1" applyProtection="1">
      <alignment horizontal="center" vertical="center"/>
    </xf>
    <xf numFmtId="10" fontId="8" fillId="0" borderId="1" xfId="0" applyNumberFormat="1" applyFont="1" applyFill="1" applyBorder="1" applyAlignment="1">
      <alignment horizontal="center" vertical="center"/>
    </xf>
    <xf numFmtId="10" fontId="8" fillId="0" borderId="1" xfId="0" applyNumberFormat="1" applyFont="1" applyFill="1" applyBorder="1">
      <alignment vertical="center"/>
    </xf>
    <xf numFmtId="0" fontId="10" fillId="0" borderId="5" xfId="0" applyFont="1" applyFill="1" applyBorder="1" applyAlignment="1" applyProtection="1">
      <alignment horizontal="center" vertical="center"/>
    </xf>
    <xf numFmtId="10" fontId="8" fillId="0" borderId="1" xfId="0" applyNumberFormat="1" applyFont="1" applyFill="1" applyBorder="1" applyAlignment="1" applyProtection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12" fillId="0" borderId="4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0" fontId="0" fillId="0" borderId="3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10" fontId="14" fillId="0" borderId="1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/>
    </xf>
    <xf numFmtId="10" fontId="8" fillId="0" borderId="3" xfId="0" applyNumberFormat="1" applyFont="1" applyFill="1" applyBorder="1" applyAlignment="1">
      <alignment horizontal="center" vertical="center"/>
    </xf>
    <xf numFmtId="10" fontId="8" fillId="0" borderId="4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10" fontId="12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0" fontId="1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9" fontId="5" fillId="0" borderId="2" xfId="0" applyNumberFormat="1" applyFont="1" applyBorder="1" applyAlignment="1">
      <alignment horizontal="center" vertical="center"/>
    </xf>
    <xf numFmtId="9" fontId="5" fillId="0" borderId="3" xfId="0" applyNumberFormat="1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10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10" fontId="4" fillId="0" borderId="2" xfId="0" applyNumberFormat="1" applyFont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6"/>
  <sheetViews>
    <sheetView view="pageBreakPreview" zoomScaleNormal="100" workbookViewId="0">
      <selection activeCell="F21" sqref="F21"/>
    </sheetView>
  </sheetViews>
  <sheetFormatPr defaultColWidth="9" defaultRowHeight="13.5"/>
  <cols>
    <col min="2" max="2" width="8.125" customWidth="1"/>
    <col min="3" max="3" width="5.375" customWidth="1"/>
    <col min="4" max="4" width="10" style="119" customWidth="1"/>
    <col min="5" max="5" width="5.375" style="119" customWidth="1"/>
    <col min="6" max="6" width="68.1833333333333" style="113" customWidth="1"/>
    <col min="7" max="7" width="8.625" customWidth="1"/>
    <col min="9" max="9" width="10.6333333333333"/>
  </cols>
  <sheetData>
    <row r="1" ht="18.75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customFormat="1" spans="1:9">
      <c r="A2" s="4" t="s">
        <v>1</v>
      </c>
      <c r="B2" s="4" t="s">
        <v>2</v>
      </c>
      <c r="C2" s="4"/>
      <c r="D2" s="18" t="s">
        <v>3</v>
      </c>
      <c r="E2" s="18"/>
      <c r="F2" s="4" t="s">
        <v>4</v>
      </c>
      <c r="G2" s="4" t="s">
        <v>5</v>
      </c>
      <c r="H2" s="6" t="s">
        <v>6</v>
      </c>
      <c r="I2" s="4" t="s">
        <v>7</v>
      </c>
    </row>
    <row r="3" customFormat="1" spans="1:9">
      <c r="A3" s="4"/>
      <c r="B3" s="4" t="s">
        <v>8</v>
      </c>
      <c r="C3" s="4" t="s">
        <v>9</v>
      </c>
      <c r="D3" s="18" t="s">
        <v>8</v>
      </c>
      <c r="E3" s="18" t="s">
        <v>9</v>
      </c>
      <c r="F3" s="4"/>
      <c r="G3" s="4"/>
      <c r="H3" s="8"/>
      <c r="I3" s="4"/>
    </row>
    <row r="4" customFormat="1" spans="1:9">
      <c r="A4" s="4"/>
      <c r="B4" s="4"/>
      <c r="C4" s="4"/>
      <c r="D4" s="18"/>
      <c r="E4" s="18"/>
      <c r="F4" s="4"/>
      <c r="G4" s="4"/>
      <c r="H4" s="8"/>
      <c r="I4" s="4"/>
    </row>
    <row r="5" customFormat="1" ht="27" spans="1:9">
      <c r="A5" s="9">
        <v>1</v>
      </c>
      <c r="B5" s="9" t="s">
        <v>10</v>
      </c>
      <c r="C5" s="9">
        <v>0.2</v>
      </c>
      <c r="D5" s="22" t="s">
        <v>10</v>
      </c>
      <c r="E5" s="22">
        <v>0.2</v>
      </c>
      <c r="F5" s="78" t="s">
        <v>11</v>
      </c>
      <c r="G5" s="9">
        <f>IF((MID(F5,1,3)*1)&lt;=1,MID(F5,1,3)*1,1.1)</f>
        <v>1.1</v>
      </c>
      <c r="H5" s="120">
        <f>(G5*E5)/E5*100%</f>
        <v>1.1</v>
      </c>
      <c r="I5" s="125">
        <f>IF(H5*(E5/C5)*100%&gt;1,1,H5*(E5/C5))</f>
        <v>1</v>
      </c>
    </row>
    <row r="6" customFormat="1" ht="27" spans="1:9">
      <c r="A6" s="9">
        <v>2</v>
      </c>
      <c r="B6" s="9" t="s">
        <v>12</v>
      </c>
      <c r="C6" s="9">
        <v>0.3</v>
      </c>
      <c r="D6" s="22" t="s">
        <v>13</v>
      </c>
      <c r="E6" s="22">
        <v>0.2</v>
      </c>
      <c r="F6" s="78" t="s">
        <v>14</v>
      </c>
      <c r="G6" s="9">
        <f t="shared" ref="G6:G15" si="0">IF((MID(F6,1,3)*1)&lt;=1,MID(F6,1,3)*1,1.1)</f>
        <v>0.8</v>
      </c>
      <c r="H6" s="120">
        <f>(G6*E6)/E6*100%</f>
        <v>0.8</v>
      </c>
      <c r="I6" s="16">
        <f>IF((H6*(E6/C6)+H7*(E7/C6)+H8*(E8/C6))&gt;1,1,H6*(E6/C6)+H7*(E7/C6)+H8*(E8/C6))</f>
        <v>0.9</v>
      </c>
    </row>
    <row r="7" customFormat="1" spans="1:9">
      <c r="A7" s="9">
        <v>3</v>
      </c>
      <c r="B7" s="9"/>
      <c r="C7" s="9"/>
      <c r="D7" s="22" t="s">
        <v>15</v>
      </c>
      <c r="E7" s="22">
        <v>0.05</v>
      </c>
      <c r="F7" s="121" t="s">
        <v>16</v>
      </c>
      <c r="G7" s="9">
        <f t="shared" si="0"/>
        <v>1.1</v>
      </c>
      <c r="H7" s="120">
        <f t="shared" ref="H5:H15" si="1">(G7*E7)/E7*100%</f>
        <v>1.1</v>
      </c>
      <c r="I7" s="16"/>
    </row>
    <row r="8" customFormat="1" spans="1:9">
      <c r="A8" s="9">
        <v>4</v>
      </c>
      <c r="B8" s="9"/>
      <c r="C8" s="9"/>
      <c r="D8" s="22" t="s">
        <v>17</v>
      </c>
      <c r="E8" s="22">
        <v>0.05</v>
      </c>
      <c r="F8" s="11" t="s">
        <v>18</v>
      </c>
      <c r="G8" s="9">
        <f t="shared" si="0"/>
        <v>1.1</v>
      </c>
      <c r="H8" s="120">
        <f t="shared" si="1"/>
        <v>1.1</v>
      </c>
      <c r="I8" s="16"/>
    </row>
    <row r="9" customFormat="1" spans="1:9">
      <c r="A9" s="9">
        <v>5</v>
      </c>
      <c r="B9" s="9" t="s">
        <v>19</v>
      </c>
      <c r="C9" s="9">
        <v>0.3</v>
      </c>
      <c r="D9" s="22" t="s">
        <v>20</v>
      </c>
      <c r="E9" s="22">
        <v>0.2</v>
      </c>
      <c r="F9" s="11" t="s">
        <v>21</v>
      </c>
      <c r="G9" s="9">
        <f t="shared" si="0"/>
        <v>0.8</v>
      </c>
      <c r="H9" s="120">
        <f t="shared" si="1"/>
        <v>0.8</v>
      </c>
      <c r="I9" s="16">
        <f>IF((H9*(E9/C9)+H10*(E10/C9)+H11*(E11/C9))*100%&gt;1,1,H9*(E9/C9)+H10*(E10/C9)+H11*(E11/C9)*100%)</f>
        <v>0.883333333333334</v>
      </c>
    </row>
    <row r="10" customFormat="1" ht="27" spans="1:9">
      <c r="A10" s="9">
        <v>6</v>
      </c>
      <c r="B10" s="9"/>
      <c r="C10" s="9"/>
      <c r="D10" s="22" t="s">
        <v>22</v>
      </c>
      <c r="E10" s="22">
        <v>0.05</v>
      </c>
      <c r="F10" s="11" t="s">
        <v>23</v>
      </c>
      <c r="G10" s="9">
        <f t="shared" si="0"/>
        <v>1.1</v>
      </c>
      <c r="H10" s="120">
        <f t="shared" si="1"/>
        <v>1.1</v>
      </c>
      <c r="I10" s="16"/>
    </row>
    <row r="11" customFormat="1" spans="1:9">
      <c r="A11" s="9">
        <v>7</v>
      </c>
      <c r="B11" s="9"/>
      <c r="C11" s="9"/>
      <c r="D11" s="22" t="s">
        <v>24</v>
      </c>
      <c r="E11" s="22">
        <v>0.05</v>
      </c>
      <c r="F11" s="121" t="s">
        <v>25</v>
      </c>
      <c r="G11" s="9">
        <f t="shared" si="0"/>
        <v>1</v>
      </c>
      <c r="H11" s="120">
        <f t="shared" si="1"/>
        <v>1</v>
      </c>
      <c r="I11" s="16"/>
    </row>
    <row r="12" customFormat="1" spans="1:9">
      <c r="A12" s="9">
        <v>8</v>
      </c>
      <c r="B12" s="9" t="s">
        <v>26</v>
      </c>
      <c r="C12" s="9">
        <v>0.2</v>
      </c>
      <c r="D12" s="22" t="s">
        <v>27</v>
      </c>
      <c r="E12" s="22">
        <v>0.05</v>
      </c>
      <c r="F12" s="11" t="s">
        <v>28</v>
      </c>
      <c r="G12" s="9">
        <f t="shared" si="0"/>
        <v>0.8</v>
      </c>
      <c r="H12" s="120">
        <f t="shared" si="1"/>
        <v>0.8</v>
      </c>
      <c r="I12" s="16">
        <f>IF((H12*(E12/C12)+H13*(E13/C12)+H14*(E14/C12)+H15*(E15/C12))*100%&gt;1,1,H12*(E12/C12)+H13*(E13/C12)+H14*(E14/C12)+H15*(E15/C12))*100%</f>
        <v>0.825</v>
      </c>
    </row>
    <row r="13" customFormat="1" spans="1:9">
      <c r="A13" s="9">
        <v>9</v>
      </c>
      <c r="B13" s="9"/>
      <c r="C13" s="9"/>
      <c r="D13" s="22" t="s">
        <v>29</v>
      </c>
      <c r="E13" s="22">
        <v>0.05</v>
      </c>
      <c r="F13" s="11" t="s">
        <v>30</v>
      </c>
      <c r="G13" s="9">
        <f t="shared" si="0"/>
        <v>1.1</v>
      </c>
      <c r="H13" s="120">
        <f t="shared" si="1"/>
        <v>1.1</v>
      </c>
      <c r="I13" s="16"/>
    </row>
    <row r="14" customFormat="1" spans="1:9">
      <c r="A14" s="9">
        <v>10</v>
      </c>
      <c r="B14" s="9"/>
      <c r="C14" s="9"/>
      <c r="D14" s="22" t="s">
        <v>31</v>
      </c>
      <c r="E14" s="22">
        <v>0.05</v>
      </c>
      <c r="F14" s="121" t="s">
        <v>32</v>
      </c>
      <c r="G14" s="9">
        <f t="shared" si="0"/>
        <v>1</v>
      </c>
      <c r="H14" s="120">
        <f t="shared" si="1"/>
        <v>1</v>
      </c>
      <c r="I14" s="16"/>
    </row>
    <row r="15" customFormat="1" spans="1:9">
      <c r="A15" s="10">
        <v>11</v>
      </c>
      <c r="B15" s="10"/>
      <c r="C15" s="10"/>
      <c r="D15" s="122" t="s">
        <v>33</v>
      </c>
      <c r="E15" s="122">
        <v>0.05</v>
      </c>
      <c r="F15" s="123" t="s">
        <v>34</v>
      </c>
      <c r="G15" s="9">
        <f t="shared" si="0"/>
        <v>0.4</v>
      </c>
      <c r="H15" s="124">
        <f t="shared" si="1"/>
        <v>0.4</v>
      </c>
      <c r="I15" s="16"/>
    </row>
    <row r="16" spans="1:9">
      <c r="A16" s="80" t="s">
        <v>35</v>
      </c>
      <c r="B16" s="81"/>
      <c r="C16" s="81"/>
      <c r="D16" s="81"/>
      <c r="E16" s="81"/>
      <c r="F16" s="81"/>
      <c r="G16" s="81"/>
      <c r="H16" s="82"/>
      <c r="I16" s="16">
        <f>I5*C5+I6*C6+I9*C9+I12*C12</f>
        <v>0.9</v>
      </c>
    </row>
  </sheetData>
  <mergeCells count="22">
    <mergeCell ref="A1:I1"/>
    <mergeCell ref="B2:C2"/>
    <mergeCell ref="D2:E2"/>
    <mergeCell ref="A16:H16"/>
    <mergeCell ref="A2:A4"/>
    <mergeCell ref="B3:B4"/>
    <mergeCell ref="B6:B8"/>
    <mergeCell ref="B9:B11"/>
    <mergeCell ref="B12:B15"/>
    <mergeCell ref="C3:C4"/>
    <mergeCell ref="C6:C8"/>
    <mergeCell ref="C9:C11"/>
    <mergeCell ref="C12:C15"/>
    <mergeCell ref="D3:D4"/>
    <mergeCell ref="E3:E4"/>
    <mergeCell ref="F2:F4"/>
    <mergeCell ref="G2:G4"/>
    <mergeCell ref="H2:H4"/>
    <mergeCell ref="I2:I4"/>
    <mergeCell ref="I6:I8"/>
    <mergeCell ref="I9:I11"/>
    <mergeCell ref="I12:I15"/>
  </mergeCells>
  <dataValidations count="12">
    <dataValidation type="list" allowBlank="1" showInputMessage="1" showErrorMessage="1" sqref="F5">
      <formula1>"1.1分：索道自动上下料装置、遥控索道牵引机、重型索道、多地形多功能运输车、电动山地双轨运输车、塔材运输车、步履式多功能作业车等新型先进装备,1.0分：直升机/无人机物料吊运、履带/轮胎式运输车、轻型卡车、水陆两用运输设备、沼泽钢轮车、索道运输、轨道运输车、组合式货运索道、窄轨履带运输车、临时路面铺收机,0.8分：三轮汽车/低速货车,0.6分：农用车+马帮运输,0.0分：人力运输/其它"</formula1>
    </dataValidation>
    <dataValidation type="list" allowBlank="1" showInputMessage="1" showErrorMessage="1" sqref="F6">
      <formula1>"1.1分：分体式钻孔机（可用索道运输）、轮步式作业平台、旋挖钻机（灌注桩基础一次成型）、旋挖钻机配磨牙钻筒、模块化山地微型桩钻机、多功能模块化智能挖孔机等新型先进装备,1.0分：旋挖钻机、螺旋钻机、螺旋锚钻机、岩石锚杆钻机、挖掘机或（挖掘机+辅助排水设备）、静压打桩机、螺旋锚钻机、冲孔钻机、深基坑一体机,0.8分：分体式钻孔机、机械洛阳铲、潜水钻机、回转钻机、磨盘钻机、岩石开裂机、一体化开挖设备、冲孔打桩机、冲抓钻孔机、空压机,0.4分：风镐、水磨钻,0.2分：爆破、二氧化碳致裂管,0.0分：人工/其他"</formula1>
    </dataValidation>
    <dataValidation type="list" allowBlank="1" showInputMessage="1" showErrorMessage="1" sqref="F7">
      <formula1>"1.1分：新型全自动一体机等先进装备,1.0分：钢筋笼自动加工设备,0.8分：钢筋绑扎器,0.5分：预制钢筋笼,0.2分：人工绑扎"</formula1>
    </dataValidation>
    <dataValidation type="list" allowBlank="1" showInputMessage="1" showErrorMessage="1" sqref="F15">
      <formula1>"1.1分：自动安装机械（如机器
人）等新型先进装备,1.0分：飞车、间隔棒运输机,0.4分：提线器、机动绞磨,0.0分：人工安装/其他"</formula1>
    </dataValidation>
    <dataValidation type="list" allowBlank="1" showInputMessage="1" showErrorMessage="1" sqref="F11">
      <formula1>"1.1分：自动螺栓紧固机器人、智能化电动扭矩扳手等新型先进装备,1.0分：电动扭矩扳手、液压扭矩扳手、气动扭矩扳手,0.0分：普通扳手/其他"</formula1>
    </dataValidation>
    <dataValidation type="list" allowBlank="1" showInputMessage="1" showErrorMessage="1" sqref="F9">
      <formula1>"1.1分：新型组塔起重机、全液压下顶升智能立塔成套装备、轻型移动式智能组塔装置、智能落地双平臂抱杆、ZTH系列电建多功能作业车等先进装备,1.0分：双摇臂落地抱杆、双平臂落地抱杆、四线多功能牵引机、履带双摇臂抱杆组塔、集控式液压绞磨、全地形起重机、越野轮胎起重机、履带式电建起重机、汽车式起重机、直升机及配套工具,0.8分：落地摇/平臂抱杆、人字抱杆+双卷筒绞磨（拉线塔）、悬浮抱杆,0.0分：人工组塔/其他"</formula1>
    </dataValidation>
    <dataValidation type="list" allowBlank="1" showInputMessage="1" showErrorMessage="1" sqref="F8">
      <formula1>"1.1分：新型混凝土拌制、运输装备等先进装备,1.0分：灌式运输车、混凝土泵车,0.8分：小型商混机械运输车（除罐式外）,0.4分：小型搅拌机、自落式搅拌机、强制式搅拌机,0.0分：人工搅拌、浇筑/其他"</formula1>
    </dataValidation>
    <dataValidation type="list" allowBlank="1" showInputMessage="1" showErrorMessage="1" sqref="F10">
      <formula1>"1.1分：塔材组片专用装备、地形起重机、履带式电建起重机、ZTH系列电建多功能作业车等新型先进装备,1.0分：履带/轮胎/汽车式起重机,0.8分：小型移动式吊装设备"</formula1>
    </dataValidation>
    <dataValidation type="list" allowBlank="1" showInputMessage="1" showErrorMessage="1" sqref="F12">
      <formula1>"1.1分：封网机器人、先进跨越设备，数字便携式集控牵张设备，集控智能可视化牵张放线设备等新型先进装备,1.0分：多旋翼无人机，直升机、集控可视化牵张系统、绞磨自动收绳装置、智能牵引走板、移动式跨越架,0.8分：气球、遥控飞艇、牵张设备、跨越架、承载索封网跨越架,0.0分：动力伞、人工背线、人工展放/其他"</formula1>
    </dataValidation>
    <dataValidation type="list" allowBlank="1" showInputMessage="1" showErrorMessage="1" sqref="F13">
      <formula1>"1.1分：卡线器推送机器人、弧垂观测机器人等新型先进装备,1.0 分：电动紧线机、液压紧线机、北斗弧垂观测仪、电动提线器、手自一体紧线机,0.8分：半自动液压压接机、电动剥线器、机动绞磨紧线,0.2分：其他压接机/其他,0.0分：人工紧线"</formula1>
    </dataValidation>
    <dataValidation type="list" allowBlank="1" showInputMessage="1" showErrorMessage="1" sqref="F14">
      <formula1>"1.1分：新型智能化压接机等先进
装备,1.0分：全自动压接机、全自动液压切线机、全自动断线钳、自动化压接平台,0.4分：液压机、高空作业平台 ,0.2分：压接机/其他"</formula1>
    </dataValidation>
    <dataValidation allowBlank="1" showInputMessage="1" showErrorMessage="1" sqref="G5:G15"/>
  </dataValidations>
  <pageMargins left="0.75" right="0.75" top="1" bottom="1" header="0.5" footer="0.5"/>
  <pageSetup paperSize="9" scale="98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3"/>
  <sheetViews>
    <sheetView view="pageBreakPreview" zoomScaleNormal="100" workbookViewId="0">
      <selection activeCell="F27" sqref="F27"/>
    </sheetView>
  </sheetViews>
  <sheetFormatPr defaultColWidth="9" defaultRowHeight="13.5"/>
  <cols>
    <col min="2" max="2" width="12.5416666666667" customWidth="1"/>
    <col min="3" max="3" width="9.54166666666667" customWidth="1"/>
    <col min="4" max="4" width="19" customWidth="1"/>
    <col min="5" max="5" width="10.275" style="2" customWidth="1"/>
    <col min="6" max="6" width="52" style="105" customWidth="1"/>
    <col min="7" max="7" width="14.275" customWidth="1"/>
    <col min="8" max="8" width="15.0916666666667" customWidth="1"/>
    <col min="9" max="9" width="18.4583333333333" customWidth="1"/>
  </cols>
  <sheetData>
    <row r="1" ht="18.75" spans="1:9">
      <c r="A1" s="106" t="s">
        <v>36</v>
      </c>
      <c r="B1" s="3"/>
      <c r="C1" s="3"/>
      <c r="D1" s="3"/>
      <c r="E1" s="3"/>
      <c r="F1" s="3"/>
      <c r="G1" s="3"/>
      <c r="H1" s="3"/>
      <c r="I1" s="3"/>
    </row>
    <row r="2" spans="1:9">
      <c r="A2" s="107" t="s">
        <v>1</v>
      </c>
      <c r="B2" s="107" t="s">
        <v>2</v>
      </c>
      <c r="C2" s="107"/>
      <c r="D2" s="108" t="s">
        <v>3</v>
      </c>
      <c r="E2" s="108"/>
      <c r="F2" s="109" t="s">
        <v>4</v>
      </c>
      <c r="G2" s="108" t="s">
        <v>5</v>
      </c>
      <c r="H2" s="107" t="s">
        <v>6</v>
      </c>
      <c r="I2" s="107" t="s">
        <v>7</v>
      </c>
    </row>
    <row r="3" spans="1:9">
      <c r="A3" s="107"/>
      <c r="B3" s="107" t="s">
        <v>8</v>
      </c>
      <c r="C3" s="107" t="s">
        <v>9</v>
      </c>
      <c r="D3" s="107" t="s">
        <v>8</v>
      </c>
      <c r="E3" s="107" t="s">
        <v>9</v>
      </c>
      <c r="F3" s="110"/>
      <c r="G3" s="108"/>
      <c r="H3" s="107"/>
      <c r="I3" s="107"/>
    </row>
    <row r="4" ht="27" spans="1:9">
      <c r="A4" s="9">
        <v>1</v>
      </c>
      <c r="B4" s="9" t="s">
        <v>37</v>
      </c>
      <c r="C4" s="22">
        <v>0.05</v>
      </c>
      <c r="D4" s="22" t="s">
        <v>37</v>
      </c>
      <c r="E4" s="9">
        <v>0.05</v>
      </c>
      <c r="F4" s="78" t="s">
        <v>38</v>
      </c>
      <c r="G4" s="9">
        <f>IF((MID(F4,1,3)*1)&lt;=1,MID(F4,1,3)*1,1.1)</f>
        <v>1.1</v>
      </c>
      <c r="H4" s="111">
        <f t="shared" ref="H4:H18" si="0">(G4*E4)/E4</f>
        <v>1.1</v>
      </c>
      <c r="I4" s="111">
        <f>IF((G4*E4)/E4&gt;1,1,(G4*E4)/E4)</f>
        <v>1</v>
      </c>
    </row>
    <row r="5" ht="27" spans="1:9">
      <c r="A5" s="9">
        <v>2</v>
      </c>
      <c r="B5" s="9" t="s">
        <v>39</v>
      </c>
      <c r="C5" s="22">
        <v>0.5</v>
      </c>
      <c r="D5" s="22" t="s">
        <v>40</v>
      </c>
      <c r="E5" s="9">
        <v>0.05</v>
      </c>
      <c r="F5" s="78" t="s">
        <v>41</v>
      </c>
      <c r="G5" s="9">
        <f t="shared" ref="G5:G18" si="1">IF((MID(F5,1,3)*1)&lt;=1,MID(F5,1,3)*1,1.1)</f>
        <v>1.1</v>
      </c>
      <c r="H5" s="111">
        <f t="shared" si="0"/>
        <v>1.1</v>
      </c>
      <c r="I5" s="114">
        <f>IF(G5*(E5/C5)+G6*(E6/C5)+G7*(E7/C5)+G8*(E8/C5)+G9*(E9/C5)&gt;1,1,G5*(E5/C5)+G6*(E6/C5)+G7*(E7/C5)+G8*(E8/C5)+G9*(E9/C5))</f>
        <v>1</v>
      </c>
    </row>
    <row r="6" spans="1:9">
      <c r="A6" s="9">
        <v>3</v>
      </c>
      <c r="B6" s="9"/>
      <c r="C6" s="22"/>
      <c r="D6" s="22" t="s">
        <v>42</v>
      </c>
      <c r="E6" s="9">
        <v>0.05</v>
      </c>
      <c r="F6" s="78" t="s">
        <v>43</v>
      </c>
      <c r="G6" s="9">
        <f t="shared" si="1"/>
        <v>1.1</v>
      </c>
      <c r="H6" s="111">
        <f t="shared" si="0"/>
        <v>1.1</v>
      </c>
      <c r="I6" s="115"/>
    </row>
    <row r="7" ht="27" spans="1:9">
      <c r="A7" s="9">
        <v>4</v>
      </c>
      <c r="B7" s="9"/>
      <c r="C7" s="22"/>
      <c r="D7" s="22" t="s">
        <v>44</v>
      </c>
      <c r="E7" s="9">
        <v>0.15</v>
      </c>
      <c r="F7" s="78" t="s">
        <v>45</v>
      </c>
      <c r="G7" s="9">
        <f t="shared" si="1"/>
        <v>1</v>
      </c>
      <c r="H7" s="111">
        <f t="shared" si="0"/>
        <v>1</v>
      </c>
      <c r="I7" s="115"/>
    </row>
    <row r="8" ht="27" spans="1:9">
      <c r="A8" s="9">
        <v>5</v>
      </c>
      <c r="B8" s="9"/>
      <c r="C8" s="22"/>
      <c r="D8" s="22" t="s">
        <v>46</v>
      </c>
      <c r="E8" s="9">
        <v>0.15</v>
      </c>
      <c r="F8" s="78" t="s">
        <v>47</v>
      </c>
      <c r="G8" s="9">
        <f t="shared" si="1"/>
        <v>1.1</v>
      </c>
      <c r="H8" s="111">
        <f t="shared" si="0"/>
        <v>1.1</v>
      </c>
      <c r="I8" s="115"/>
    </row>
    <row r="9" ht="27" spans="1:9">
      <c r="A9" s="9">
        <v>6</v>
      </c>
      <c r="B9" s="9"/>
      <c r="C9" s="22"/>
      <c r="D9" s="22" t="s">
        <v>48</v>
      </c>
      <c r="E9" s="9">
        <v>0.1</v>
      </c>
      <c r="F9" s="78" t="s">
        <v>49</v>
      </c>
      <c r="G9" s="9">
        <f t="shared" si="1"/>
        <v>1</v>
      </c>
      <c r="H9" s="111">
        <f t="shared" si="0"/>
        <v>1</v>
      </c>
      <c r="I9" s="116"/>
    </row>
    <row r="10" spans="1:9">
      <c r="A10" s="9">
        <v>7</v>
      </c>
      <c r="B10" s="9" t="s">
        <v>50</v>
      </c>
      <c r="C10" s="22">
        <v>0.45</v>
      </c>
      <c r="D10" s="22" t="s">
        <v>51</v>
      </c>
      <c r="E10" s="9">
        <v>0.05</v>
      </c>
      <c r="F10" s="78" t="s">
        <v>52</v>
      </c>
      <c r="G10" s="9">
        <f t="shared" si="1"/>
        <v>1</v>
      </c>
      <c r="H10" s="111">
        <f t="shared" si="0"/>
        <v>1</v>
      </c>
      <c r="I10" s="111">
        <f>IF(G10*(E10/C10)+G11*(E11/C10)+G12*(E12/C10)+G13*(E13/C10)+G14*(E14/C10)++G15*(E15/C10)+G16*(E16/C10)+G17*(E17/C10)+G18*(E18/C10)&gt;1,1,G10*(E10/C10)+G11*(E11/C10)+G12*(E12/C10)+G13*(E13/C10)+G14*(E14/C10)++G15*(E15/C10)+G16*(E16/C10)+G17*(E17/C10)+G18*(E18/C10))</f>
        <v>1</v>
      </c>
    </row>
    <row r="11" spans="1:9">
      <c r="A11" s="9">
        <v>8</v>
      </c>
      <c r="B11" s="9"/>
      <c r="C11" s="22"/>
      <c r="D11" s="22" t="s">
        <v>53</v>
      </c>
      <c r="E11" s="9">
        <v>0.05</v>
      </c>
      <c r="F11" s="78" t="s">
        <v>54</v>
      </c>
      <c r="G11" s="9">
        <f t="shared" si="1"/>
        <v>1.1</v>
      </c>
      <c r="H11" s="111">
        <f t="shared" si="0"/>
        <v>1.1</v>
      </c>
      <c r="I11" s="111"/>
    </row>
    <row r="12" spans="1:9">
      <c r="A12" s="9">
        <v>9</v>
      </c>
      <c r="B12" s="9"/>
      <c r="C12" s="22"/>
      <c r="D12" s="22" t="s">
        <v>55</v>
      </c>
      <c r="E12" s="9">
        <v>0.05</v>
      </c>
      <c r="F12" s="78" t="s">
        <v>56</v>
      </c>
      <c r="G12" s="9">
        <f t="shared" si="1"/>
        <v>1</v>
      </c>
      <c r="H12" s="111">
        <f t="shared" si="0"/>
        <v>1</v>
      </c>
      <c r="I12" s="111"/>
    </row>
    <row r="13" ht="27" spans="1:9">
      <c r="A13" s="9">
        <v>10</v>
      </c>
      <c r="B13" s="9"/>
      <c r="C13" s="22"/>
      <c r="D13" s="22" t="s">
        <v>57</v>
      </c>
      <c r="E13" s="9">
        <v>0.05</v>
      </c>
      <c r="F13" s="78" t="s">
        <v>58</v>
      </c>
      <c r="G13" s="9">
        <f t="shared" si="1"/>
        <v>1.1</v>
      </c>
      <c r="H13" s="111">
        <f t="shared" si="0"/>
        <v>1.1</v>
      </c>
      <c r="I13" s="111"/>
    </row>
    <row r="14" ht="40.5" spans="1:9">
      <c r="A14" s="9">
        <v>11</v>
      </c>
      <c r="B14" s="9"/>
      <c r="C14" s="22"/>
      <c r="D14" s="22" t="s">
        <v>59</v>
      </c>
      <c r="E14" s="9">
        <v>0.05</v>
      </c>
      <c r="F14" s="78" t="s">
        <v>60</v>
      </c>
      <c r="G14" s="9">
        <f t="shared" si="1"/>
        <v>1.1</v>
      </c>
      <c r="H14" s="111">
        <f t="shared" si="0"/>
        <v>1.1</v>
      </c>
      <c r="I14" s="111"/>
    </row>
    <row r="15" ht="54" spans="1:9">
      <c r="A15" s="9">
        <v>12</v>
      </c>
      <c r="B15" s="9"/>
      <c r="C15" s="22"/>
      <c r="D15" s="22" t="s">
        <v>61</v>
      </c>
      <c r="E15" s="9">
        <v>0.05</v>
      </c>
      <c r="F15" s="78" t="s">
        <v>62</v>
      </c>
      <c r="G15" s="9">
        <f t="shared" si="1"/>
        <v>1</v>
      </c>
      <c r="H15" s="111">
        <f t="shared" si="0"/>
        <v>1</v>
      </c>
      <c r="I15" s="111"/>
    </row>
    <row r="16" spans="1:9">
      <c r="A16" s="9">
        <v>13</v>
      </c>
      <c r="B16" s="9"/>
      <c r="C16" s="22"/>
      <c r="D16" s="22" t="s">
        <v>63</v>
      </c>
      <c r="E16" s="9">
        <v>0.05</v>
      </c>
      <c r="F16" s="78" t="s">
        <v>64</v>
      </c>
      <c r="G16" s="9">
        <f t="shared" si="1"/>
        <v>1</v>
      </c>
      <c r="H16" s="111">
        <f t="shared" si="0"/>
        <v>1</v>
      </c>
      <c r="I16" s="111"/>
    </row>
    <row r="17" spans="1:9">
      <c r="A17" s="9">
        <v>14</v>
      </c>
      <c r="B17" s="9"/>
      <c r="C17" s="22"/>
      <c r="D17" s="22" t="s">
        <v>65</v>
      </c>
      <c r="E17" s="9">
        <v>0.05</v>
      </c>
      <c r="F17" s="78" t="s">
        <v>66</v>
      </c>
      <c r="G17" s="9">
        <f t="shared" si="1"/>
        <v>1.1</v>
      </c>
      <c r="H17" s="111">
        <f t="shared" si="0"/>
        <v>1.1</v>
      </c>
      <c r="I17" s="111"/>
    </row>
    <row r="18" spans="1:9">
      <c r="A18" s="9">
        <v>15</v>
      </c>
      <c r="B18" s="9"/>
      <c r="C18" s="22"/>
      <c r="D18" s="22" t="s">
        <v>67</v>
      </c>
      <c r="E18" s="9">
        <v>0.05</v>
      </c>
      <c r="F18" s="112" t="s">
        <v>68</v>
      </c>
      <c r="G18" s="9">
        <f t="shared" si="1"/>
        <v>1.1</v>
      </c>
      <c r="H18" s="111">
        <f t="shared" si="0"/>
        <v>1.1</v>
      </c>
      <c r="I18" s="111"/>
    </row>
    <row r="19" customFormat="1" spans="1:9">
      <c r="A19" s="79">
        <v>16</v>
      </c>
      <c r="B19" s="15" t="s">
        <v>69</v>
      </c>
      <c r="C19" s="15"/>
      <c r="D19" s="15"/>
      <c r="E19" s="15"/>
      <c r="F19" s="15"/>
      <c r="G19" s="15"/>
      <c r="H19" s="15"/>
      <c r="I19" s="117">
        <f>I4*0.05+I5*0.5+I10*0.45</f>
        <v>1</v>
      </c>
    </row>
    <row r="20" ht="18.75" spans="1:9">
      <c r="A20" s="102" t="s">
        <v>70</v>
      </c>
      <c r="B20" s="102"/>
      <c r="C20" s="102"/>
      <c r="D20" s="102"/>
      <c r="E20" s="102"/>
      <c r="F20" s="102"/>
      <c r="G20" s="102"/>
      <c r="H20" s="102"/>
      <c r="I20" s="118">
        <f>I19</f>
        <v>1</v>
      </c>
    </row>
    <row r="23" spans="6:6">
      <c r="F23" s="113"/>
    </row>
  </sheetData>
  <mergeCells count="16">
    <mergeCell ref="A1:I1"/>
    <mergeCell ref="B2:C2"/>
    <mergeCell ref="D2:E2"/>
    <mergeCell ref="B19:H19"/>
    <mergeCell ref="A20:H20"/>
    <mergeCell ref="A2:A3"/>
    <mergeCell ref="B5:B9"/>
    <mergeCell ref="B10:B18"/>
    <mergeCell ref="C5:C9"/>
    <mergeCell ref="C10:C18"/>
    <mergeCell ref="F2:F3"/>
    <mergeCell ref="G2:G3"/>
    <mergeCell ref="H2:H3"/>
    <mergeCell ref="I2:I3"/>
    <mergeCell ref="I5:I9"/>
    <mergeCell ref="I10:I18"/>
  </mergeCells>
  <dataValidations count="15">
    <dataValidation type="list" allowBlank="1" showInputMessage="1" showErrorMessage="1" sqref="F8">
      <formula1>"1.1分：新型模具和加固装置、预制围墙运输安装一体机等新型先进装备、激光整平机等新型先进装备,1.0分：基于装配式方案的流动式起重机、曲臂升降车、剪叉式升降平台、直臂高空作业车,0.8分：基于现浇基础方案的钢筋自动加工设备、混凝土搅拌运输车、混凝土泵车、插入式混凝土振捣器、高精度木工锯床、钢筋绑扎机、混凝土磨光机、平板夯机、压路机、沥青路面摊铺机、叉车,0.2分：手动扳手、混凝土切割机、普通钢筋加工设备、普通木工加工设备、电焊机、砂轮切割机、冲击钻、水磨钻,0.0分：现场搅拌机"</formula1>
    </dataValidation>
    <dataValidation type="list" allowBlank="1" showInputMessage="1" showErrorMessage="1" sqref="F4">
      <formula1>"1.1分：智能化多功能机等新型先进装备、带GPS定位功能的各类新型设备,1.0分：推土机、挖掘机、振动压路机、装载机、自卸汽车、钻孔设备、液压夯实机,0.2分：小型夯实机"</formula1>
    </dataValidation>
    <dataValidation type="list" allowBlank="1" showInputMessage="1" showErrorMessage="1" sqref="F5">
      <formula1>"1.1分：激光整平机、带GPS定位功能的各类桩机等新型先进装备,1.0分：静力压桩机、锤击桩机、流动式起重机；螺旋打桩机、旋挖桩机、强夯机、压密注浆机、正反循环钻机、冲击桩机、钻孔桩机、钢板桩插板机,0.8分：挖掘机、推土机、振动压路机、装载车、叉车,0.2分：小型夯实机"</formula1>
    </dataValidation>
    <dataValidation type="list" allowBlank="1" showInputMessage="1" showErrorMessage="1" sqref="F15">
      <formula1>"1.1分：GIS/HGIS 设备整体就位装备、橡胶履带式机械化平台、气垫运输设备、HGIS设备安装智能运输就位装备等新型先进装备,1.0 分：智能防尘棚、带逆止阀真空泵、SF6 回收装置、SF6 气体充气装置、充气式无尘化安装棚、GIS、HGIS通用试验套管、高处作业平台车、行车吊、流动式起重机、微型履带起重机、曲臂升降车、直臂高空作业车"</formula1>
    </dataValidation>
    <dataValidation type="list" allowBlank="1" showInputMessage="1" showErrorMessage="1" sqref="F6">
      <formula1>"1.1分：新型模具加固装置等新型先进装备,1.0分：基于装配式方案的流动式起重机,0.8分：基于现浇基础方案的钢筋自动加工设备、混凝土搅拌运输车、插入式混凝土振捣器、混凝土泵车、高精度木工锯床、钢筋绑扎机、挖掘机、自卸汽车、平板夯机、小型压路机、装载车、叉车,0.2分：小型夯实机、普通钢筋加工设备、普通木工加工设备、电焊机、砂轮切割机,0.0分：铁锹"</formula1>
    </dataValidation>
    <dataValidation type="list" allowBlank="1" showInputMessage="1" showErrorMessage="1" sqref="F16">
      <formula1>"1.1分：集装箱式串联谐振耐压试验装置、超特高压车载式交流耐压试验平台等新型先进装备,1.0 分：组合式谐振耐压试验装置、模块化试验装置"</formula1>
    </dataValidation>
    <dataValidation type="list" allowBlank="1" showInputMessage="1" showErrorMessage="1" sqref="F7">
      <formula1>"1.1分：新型模具和加固装置、高处作业平台车、激光整平机等新型先进装备,1.0分：基于装配式方案的流动式起重机、剪叉式升降平台、曲臂升降车、电动扳手、直臂高空作业车,0.8分：基于现浇式方案的钢筋自动加工设备、混凝土搅拌运输车、混凝土泵车、插入式混凝土振捣器、高精度木工锯床、钢筋绑扎机、墙面打磨机、墙面开槽机、塔吊、物料提升机、叉车、气动扳手,0.2分：手动扳手、普通钢筋加工设备、普通木工加工设备、电焊机、砂轮切割机、冲击钻、水磨钻"</formula1>
    </dataValidation>
    <dataValidation type="list" allowBlank="1" showInputMessage="1" showErrorMessage="1" sqref="F9">
      <formula1>"1.1分：高处作业平台车等新型先进装备,1.0分：流动式起重机、电动扳手、曲臂升降车、直臂高空作业车,0.2分：手动扳手"</formula1>
    </dataValidation>
    <dataValidation type="list" allowBlank="1" showInputMessage="1" showErrorMessage="1" sqref="F10">
      <formula1>"1.0分：牵引车、液压顶推装备,0.8分：卷扬机、轨道小车、液压起重装备"</formula1>
    </dataValidation>
    <dataValidation type="list" allowBlank="1" showInputMessage="1" showErrorMessage="1" sqref="F11">
      <formula1>"1.1分：高处作业平台车等新型先进装备,1.0分: 流动式起重机、曲臂升降车、直臂高空作业车、垂直桅杆式升降式作业平台,0.0分：千斤顶"</formula1>
    </dataValidation>
    <dataValidation type="list" allowBlank="1" showInputMessage="1" showErrorMessage="1" sqref="F12">
      <formula1>"1.1分：主变安装智能监测装置等新型先进装备,1.0分: 滤油机、抽真空机,0.8分: 油罐车,0.2分：排油泵"</formula1>
    </dataValidation>
    <dataValidation type="list" allowBlank="1" showInputMessage="1" showErrorMessage="1" sqref="F13">
      <formula1>"1.1分：电力变压器感应耐压及局放试验车、集装箱式油化试验室等新型先进装备,1.0 分：集装箱式电力变压器感应耐压及局放试验装置、集成式组合试验装置、高处作业平台车,0.8分:组合式电力变压器感应耐压及局放试验装置"</formula1>
    </dataValidation>
    <dataValidation type="list" allowBlank="1" showInputMessage="1" showErrorMessage="1" sqref="F14">
      <formula1>"1.1分：GIS/HGIS 设备整体就位装备、橡胶履带式机械化平台、气垫运输设备、HGIS设备安装智能运输就位装备等新型先进装备,1.0 分：流动式起重机、微型履带起重机、GIS 运输小坦克、高处作业平台车、行车吊、曲臂升降车、直臂高空作业车,0.2分：千斤顶、链条葫芦、电焊机"</formula1>
    </dataValidation>
    <dataValidation type="list" allowBlank="1" showInputMessage="1" showErrorMessage="1" sqref="F17">
      <formula1>"1.1分：新型先进装备、智能冲钻孔装备,1.0 分：流动式起重机、微型履带起重机、电动叉车+二次屏柜搬运装置、专用打孔装置、弯排机、标签机、号码管机、光纤熔接机等应用设备,0.8 分：液压移动小车、移动式龙门吊,0.6分：磁力钻,0.2分：台钻、切割机"</formula1>
    </dataValidation>
    <dataValidation type="list" allowBlank="1" showInputMessage="1" showErrorMessage="1" sqref="F18">
      <formula1>"1.1分：大截面动力电缆输送装置等新型先进装备,0.8分：牵引机、电缆放线架、打孔机、电动工具,0.6分：冲击钻"</formula1>
    </dataValidation>
  </dataValidations>
  <pageMargins left="0.75" right="0.75" top="1" bottom="1" header="0.5" footer="0.5"/>
  <pageSetup paperSize="9" scale="82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2"/>
  <sheetViews>
    <sheetView view="pageBreakPreview" zoomScaleNormal="100" topLeftCell="C4" workbookViewId="0">
      <selection activeCell="D39" sqref="D39"/>
    </sheetView>
  </sheetViews>
  <sheetFormatPr defaultColWidth="9" defaultRowHeight="13.5" outlineLevelCol="7"/>
  <cols>
    <col min="1" max="1" width="6.09166666666667" style="85" customWidth="1"/>
    <col min="2" max="2" width="20" style="85" customWidth="1"/>
    <col min="3" max="3" width="23.4583333333333" style="85" customWidth="1"/>
    <col min="4" max="4" width="16.5416666666667" style="85" customWidth="1"/>
    <col min="5" max="5" width="64.8166666666667" style="86" customWidth="1"/>
    <col min="6" max="6" width="9" style="85"/>
    <col min="7" max="8" width="23.3666666666667" style="85" customWidth="1"/>
    <col min="9" max="16384" width="9" style="85"/>
  </cols>
  <sheetData>
    <row r="1" customFormat="1" ht="18.75" spans="1:8">
      <c r="A1" s="87" t="s">
        <v>71</v>
      </c>
      <c r="B1" s="87"/>
      <c r="C1" s="87"/>
      <c r="D1" s="87"/>
      <c r="E1" s="87"/>
      <c r="F1" s="87"/>
      <c r="G1" s="87"/>
      <c r="H1" s="87"/>
    </row>
    <row r="2" customFormat="1" spans="1:8">
      <c r="A2" s="88" t="s">
        <v>1</v>
      </c>
      <c r="B2" s="88" t="s">
        <v>72</v>
      </c>
      <c r="C2" s="88"/>
      <c r="D2" s="88" t="s">
        <v>73</v>
      </c>
      <c r="E2" s="88" t="s">
        <v>74</v>
      </c>
      <c r="F2" s="88" t="s">
        <v>5</v>
      </c>
      <c r="G2" s="89" t="s">
        <v>75</v>
      </c>
      <c r="H2" s="90" t="s">
        <v>76</v>
      </c>
    </row>
    <row r="3" customFormat="1" ht="27" spans="1:8">
      <c r="A3" s="91">
        <v>1</v>
      </c>
      <c r="B3" s="92" t="s">
        <v>77</v>
      </c>
      <c r="C3" s="93" t="s">
        <v>78</v>
      </c>
      <c r="D3" s="93">
        <v>10</v>
      </c>
      <c r="E3" s="93" t="s">
        <v>79</v>
      </c>
      <c r="F3" s="93">
        <v>10</v>
      </c>
      <c r="G3" s="71">
        <f t="shared" ref="G3:G29" si="0">F3/D3</f>
        <v>1</v>
      </c>
      <c r="H3" s="71">
        <f>(F3+F4+F5+F6+F7)/(D3+D4+D5+D6+D7)</f>
        <v>1</v>
      </c>
    </row>
    <row r="4" customFormat="1" spans="1:8">
      <c r="A4" s="91">
        <v>2</v>
      </c>
      <c r="B4" s="94"/>
      <c r="C4" s="93" t="s">
        <v>80</v>
      </c>
      <c r="D4" s="93">
        <v>10</v>
      </c>
      <c r="E4" s="93" t="s">
        <v>81</v>
      </c>
      <c r="F4" s="93">
        <v>10</v>
      </c>
      <c r="G4" s="71">
        <f t="shared" si="0"/>
        <v>1</v>
      </c>
      <c r="H4" s="71"/>
    </row>
    <row r="5" customFormat="1" ht="27" spans="1:8">
      <c r="A5" s="91">
        <v>3</v>
      </c>
      <c r="B5" s="94"/>
      <c r="C5" s="93" t="s">
        <v>82</v>
      </c>
      <c r="D5" s="93">
        <v>4</v>
      </c>
      <c r="E5" s="93" t="s">
        <v>83</v>
      </c>
      <c r="F5" s="93">
        <v>4</v>
      </c>
      <c r="G5" s="71">
        <f t="shared" si="0"/>
        <v>1</v>
      </c>
      <c r="H5" s="71"/>
    </row>
    <row r="6" customFormat="1" ht="27" spans="1:8">
      <c r="A6" s="91">
        <v>4</v>
      </c>
      <c r="B6" s="94"/>
      <c r="C6" s="93" t="s">
        <v>84</v>
      </c>
      <c r="D6" s="93">
        <v>4</v>
      </c>
      <c r="E6" s="93" t="s">
        <v>83</v>
      </c>
      <c r="F6" s="93">
        <v>4</v>
      </c>
      <c r="G6" s="71">
        <f t="shared" si="0"/>
        <v>1</v>
      </c>
      <c r="H6" s="71"/>
    </row>
    <row r="7" customFormat="1" ht="27" spans="1:8">
      <c r="A7" s="91">
        <v>5</v>
      </c>
      <c r="B7" s="94"/>
      <c r="C7" s="93" t="s">
        <v>85</v>
      </c>
      <c r="D7" s="93">
        <v>4</v>
      </c>
      <c r="E7" s="93" t="s">
        <v>86</v>
      </c>
      <c r="F7" s="93">
        <v>4</v>
      </c>
      <c r="G7" s="71">
        <f t="shared" si="0"/>
        <v>1</v>
      </c>
      <c r="H7" s="71"/>
    </row>
    <row r="8" customFormat="1" ht="27" spans="1:8">
      <c r="A8" s="91">
        <v>7</v>
      </c>
      <c r="B8" s="92" t="s">
        <v>87</v>
      </c>
      <c r="C8" s="93" t="s">
        <v>78</v>
      </c>
      <c r="D8" s="93">
        <v>10</v>
      </c>
      <c r="E8" s="93" t="s">
        <v>88</v>
      </c>
      <c r="F8" s="93">
        <v>10</v>
      </c>
      <c r="G8" s="71">
        <f t="shared" si="0"/>
        <v>1</v>
      </c>
      <c r="H8" s="71">
        <f>(F8+F9+F10+F11)/(D8+D9+D10+D11)</f>
        <v>1</v>
      </c>
    </row>
    <row r="9" customFormat="1" spans="1:8">
      <c r="A9" s="91">
        <v>8</v>
      </c>
      <c r="B9" s="94"/>
      <c r="C9" s="93" t="s">
        <v>80</v>
      </c>
      <c r="D9" s="93">
        <v>10</v>
      </c>
      <c r="E9" s="93" t="s">
        <v>89</v>
      </c>
      <c r="F9" s="93">
        <v>10</v>
      </c>
      <c r="G9" s="71">
        <f t="shared" si="0"/>
        <v>1</v>
      </c>
      <c r="H9" s="71"/>
    </row>
    <row r="10" customFormat="1" ht="27" spans="1:8">
      <c r="A10" s="91">
        <v>9</v>
      </c>
      <c r="B10" s="94"/>
      <c r="C10" s="93" t="s">
        <v>84</v>
      </c>
      <c r="D10" s="93">
        <v>4</v>
      </c>
      <c r="E10" s="93" t="s">
        <v>90</v>
      </c>
      <c r="F10" s="93">
        <v>4</v>
      </c>
      <c r="G10" s="71">
        <f t="shared" si="0"/>
        <v>1</v>
      </c>
      <c r="H10" s="71"/>
    </row>
    <row r="11" customFormat="1" ht="27" spans="1:8">
      <c r="A11" s="91">
        <v>10</v>
      </c>
      <c r="B11" s="95"/>
      <c r="C11" s="93" t="s">
        <v>85</v>
      </c>
      <c r="D11" s="93">
        <v>4</v>
      </c>
      <c r="E11" s="93" t="s">
        <v>86</v>
      </c>
      <c r="F11" s="93">
        <v>4</v>
      </c>
      <c r="G11" s="71">
        <f t="shared" si="0"/>
        <v>1</v>
      </c>
      <c r="H11" s="71"/>
    </row>
    <row r="12" customFormat="1" ht="27" spans="1:8">
      <c r="A12" s="91">
        <v>11</v>
      </c>
      <c r="B12" s="94" t="s">
        <v>91</v>
      </c>
      <c r="C12" s="93" t="s">
        <v>92</v>
      </c>
      <c r="D12" s="93">
        <v>4</v>
      </c>
      <c r="E12" s="93" t="s">
        <v>93</v>
      </c>
      <c r="F12" s="93">
        <v>0</v>
      </c>
      <c r="G12" s="71">
        <f t="shared" si="0"/>
        <v>0</v>
      </c>
      <c r="H12" s="96">
        <f>(F12+F13+F14)/(D12+D13+D14)</f>
        <v>0.5</v>
      </c>
    </row>
    <row r="13" customFormat="1" ht="27" spans="1:8">
      <c r="A13" s="91">
        <v>12</v>
      </c>
      <c r="B13" s="94"/>
      <c r="C13" s="93" t="s">
        <v>84</v>
      </c>
      <c r="D13" s="93">
        <v>2</v>
      </c>
      <c r="E13" s="93" t="s">
        <v>90</v>
      </c>
      <c r="F13" s="93">
        <v>2</v>
      </c>
      <c r="G13" s="71">
        <f t="shared" si="0"/>
        <v>1</v>
      </c>
      <c r="H13" s="97"/>
    </row>
    <row r="14" customFormat="1" ht="27" spans="1:8">
      <c r="A14" s="91">
        <v>13</v>
      </c>
      <c r="B14" s="95"/>
      <c r="C14" s="93" t="s">
        <v>85</v>
      </c>
      <c r="D14" s="93">
        <v>2</v>
      </c>
      <c r="E14" s="93" t="s">
        <v>86</v>
      </c>
      <c r="F14" s="93">
        <v>2</v>
      </c>
      <c r="G14" s="71">
        <f t="shared" si="0"/>
        <v>1</v>
      </c>
      <c r="H14" s="98"/>
    </row>
    <row r="15" customFormat="1" spans="1:8">
      <c r="A15" s="91">
        <v>14</v>
      </c>
      <c r="B15" s="93" t="s">
        <v>94</v>
      </c>
      <c r="C15" s="93" t="s">
        <v>95</v>
      </c>
      <c r="D15" s="93">
        <v>3</v>
      </c>
      <c r="E15" s="93" t="s">
        <v>96</v>
      </c>
      <c r="F15" s="93">
        <v>3</v>
      </c>
      <c r="G15" s="71">
        <f t="shared" si="0"/>
        <v>1</v>
      </c>
      <c r="H15" s="71">
        <f t="shared" ref="H15:H29" si="1">F15/D15</f>
        <v>1</v>
      </c>
    </row>
    <row r="16" customFormat="1" spans="1:8">
      <c r="A16" s="91">
        <v>15</v>
      </c>
      <c r="B16" s="92" t="s">
        <v>97</v>
      </c>
      <c r="C16" s="93" t="s">
        <v>98</v>
      </c>
      <c r="D16" s="93">
        <v>3</v>
      </c>
      <c r="E16" s="93" t="s">
        <v>96</v>
      </c>
      <c r="F16" s="93">
        <v>0</v>
      </c>
      <c r="G16" s="71">
        <f t="shared" si="0"/>
        <v>0</v>
      </c>
      <c r="H16" s="71">
        <f t="shared" si="1"/>
        <v>0</v>
      </c>
    </row>
    <row r="17" customFormat="1" spans="1:8">
      <c r="A17" s="91">
        <v>16</v>
      </c>
      <c r="B17" s="93" t="s">
        <v>99</v>
      </c>
      <c r="C17" s="93" t="s">
        <v>95</v>
      </c>
      <c r="D17" s="93">
        <v>3</v>
      </c>
      <c r="E17" s="93" t="s">
        <v>96</v>
      </c>
      <c r="F17" s="93">
        <v>3</v>
      </c>
      <c r="G17" s="71">
        <f t="shared" si="0"/>
        <v>1</v>
      </c>
      <c r="H17" s="71">
        <f t="shared" si="1"/>
        <v>1</v>
      </c>
    </row>
    <row r="18" customFormat="1" spans="1:8">
      <c r="A18" s="91">
        <v>17</v>
      </c>
      <c r="B18" s="92" t="s">
        <v>100</v>
      </c>
      <c r="C18" s="93" t="s">
        <v>101</v>
      </c>
      <c r="D18" s="93">
        <v>2</v>
      </c>
      <c r="E18" s="93" t="s">
        <v>96</v>
      </c>
      <c r="F18" s="93">
        <v>0</v>
      </c>
      <c r="G18" s="71">
        <f t="shared" si="0"/>
        <v>0</v>
      </c>
      <c r="H18" s="71">
        <f t="shared" si="1"/>
        <v>0</v>
      </c>
    </row>
    <row r="19" customFormat="1" spans="1:8">
      <c r="A19" s="91">
        <v>18</v>
      </c>
      <c r="B19" s="94"/>
      <c r="C19" s="93" t="s">
        <v>102</v>
      </c>
      <c r="D19" s="93">
        <v>2</v>
      </c>
      <c r="E19" s="93" t="s">
        <v>96</v>
      </c>
      <c r="F19" s="93">
        <v>2</v>
      </c>
      <c r="G19" s="71">
        <f t="shared" si="0"/>
        <v>1</v>
      </c>
      <c r="H19" s="71">
        <f t="shared" si="1"/>
        <v>1</v>
      </c>
    </row>
    <row r="20" customFormat="1" spans="1:8">
      <c r="A20" s="91">
        <v>19</v>
      </c>
      <c r="B20" s="95"/>
      <c r="C20" s="93" t="s">
        <v>103</v>
      </c>
      <c r="D20" s="93">
        <v>2</v>
      </c>
      <c r="E20" s="93" t="s">
        <v>96</v>
      </c>
      <c r="F20" s="93">
        <v>2</v>
      </c>
      <c r="G20" s="71">
        <f t="shared" si="0"/>
        <v>1</v>
      </c>
      <c r="H20" s="71">
        <f t="shared" si="1"/>
        <v>1</v>
      </c>
    </row>
    <row r="21" customFormat="1" spans="1:8">
      <c r="A21" s="91">
        <v>20</v>
      </c>
      <c r="B21" s="93" t="s">
        <v>104</v>
      </c>
      <c r="C21" s="93" t="s">
        <v>95</v>
      </c>
      <c r="D21" s="93">
        <v>2</v>
      </c>
      <c r="E21" s="93" t="s">
        <v>96</v>
      </c>
      <c r="F21" s="93">
        <v>2</v>
      </c>
      <c r="G21" s="71">
        <f t="shared" si="0"/>
        <v>1</v>
      </c>
      <c r="H21" s="71">
        <f t="shared" si="1"/>
        <v>1</v>
      </c>
    </row>
    <row r="22" customFormat="1" spans="1:8">
      <c r="A22" s="91">
        <v>21</v>
      </c>
      <c r="B22" s="93" t="s">
        <v>105</v>
      </c>
      <c r="C22" s="93" t="s">
        <v>95</v>
      </c>
      <c r="D22" s="93">
        <v>2</v>
      </c>
      <c r="E22" s="92" t="s">
        <v>106</v>
      </c>
      <c r="F22" s="93">
        <v>2</v>
      </c>
      <c r="G22" s="71">
        <f t="shared" si="0"/>
        <v>1</v>
      </c>
      <c r="H22" s="71">
        <f t="shared" si="1"/>
        <v>1</v>
      </c>
    </row>
    <row r="23" customFormat="1" spans="1:8">
      <c r="A23" s="91">
        <v>22</v>
      </c>
      <c r="B23" s="93" t="s">
        <v>107</v>
      </c>
      <c r="C23" s="93" t="s">
        <v>95</v>
      </c>
      <c r="D23" s="93">
        <v>3</v>
      </c>
      <c r="E23" s="92" t="s">
        <v>108</v>
      </c>
      <c r="F23" s="93">
        <v>3</v>
      </c>
      <c r="G23" s="71">
        <f t="shared" si="0"/>
        <v>1</v>
      </c>
      <c r="H23" s="71">
        <f t="shared" si="1"/>
        <v>1</v>
      </c>
    </row>
    <row r="24" customFormat="1" spans="1:8">
      <c r="A24" s="91">
        <v>23</v>
      </c>
      <c r="B24" s="93" t="s">
        <v>109</v>
      </c>
      <c r="C24" s="93" t="s">
        <v>95</v>
      </c>
      <c r="D24" s="93">
        <v>2</v>
      </c>
      <c r="E24" s="92" t="s">
        <v>108</v>
      </c>
      <c r="F24" s="93">
        <v>2</v>
      </c>
      <c r="G24" s="71">
        <f t="shared" si="0"/>
        <v>1</v>
      </c>
      <c r="H24" s="71">
        <f t="shared" si="1"/>
        <v>1</v>
      </c>
    </row>
    <row r="25" customFormat="1" spans="1:8">
      <c r="A25" s="91">
        <v>24</v>
      </c>
      <c r="B25" s="92" t="s">
        <v>110</v>
      </c>
      <c r="C25" s="92" t="s">
        <v>95</v>
      </c>
      <c r="D25" s="93">
        <v>2</v>
      </c>
      <c r="E25" s="92" t="s">
        <v>111</v>
      </c>
      <c r="F25" s="93">
        <v>2</v>
      </c>
      <c r="G25" s="71">
        <f t="shared" si="0"/>
        <v>1</v>
      </c>
      <c r="H25" s="71">
        <f t="shared" si="1"/>
        <v>1</v>
      </c>
    </row>
    <row r="26" customFormat="1" spans="1:8">
      <c r="A26" s="91">
        <v>25</v>
      </c>
      <c r="B26" s="93" t="s">
        <v>112</v>
      </c>
      <c r="C26" s="93" t="s">
        <v>113</v>
      </c>
      <c r="D26" s="93">
        <v>2</v>
      </c>
      <c r="E26" s="93" t="s">
        <v>96</v>
      </c>
      <c r="F26" s="93">
        <v>2</v>
      </c>
      <c r="G26" s="71">
        <f t="shared" si="0"/>
        <v>1</v>
      </c>
      <c r="H26" s="71">
        <f t="shared" si="1"/>
        <v>1</v>
      </c>
    </row>
    <row r="27" customFormat="1" spans="1:8">
      <c r="A27" s="91">
        <v>26</v>
      </c>
      <c r="B27" s="93"/>
      <c r="C27" s="93" t="s">
        <v>114</v>
      </c>
      <c r="D27" s="93">
        <v>1</v>
      </c>
      <c r="E27" s="93" t="s">
        <v>96</v>
      </c>
      <c r="F27" s="93">
        <v>1</v>
      </c>
      <c r="G27" s="71">
        <f t="shared" si="0"/>
        <v>1</v>
      </c>
      <c r="H27" s="71">
        <f t="shared" si="1"/>
        <v>1</v>
      </c>
    </row>
    <row r="28" customFormat="1" spans="1:8">
      <c r="A28" s="91">
        <v>27</v>
      </c>
      <c r="B28" s="93"/>
      <c r="C28" s="93" t="s">
        <v>115</v>
      </c>
      <c r="D28" s="93">
        <v>1</v>
      </c>
      <c r="E28" s="93" t="s">
        <v>96</v>
      </c>
      <c r="F28" s="93">
        <v>1</v>
      </c>
      <c r="G28" s="71">
        <f t="shared" si="0"/>
        <v>1</v>
      </c>
      <c r="H28" s="71">
        <f t="shared" si="1"/>
        <v>1</v>
      </c>
    </row>
    <row r="29" customFormat="1" spans="1:8">
      <c r="A29" s="91">
        <v>28</v>
      </c>
      <c r="B29" s="93"/>
      <c r="C29" s="93" t="s">
        <v>116</v>
      </c>
      <c r="D29" s="93">
        <v>2</v>
      </c>
      <c r="E29" s="93" t="s">
        <v>96</v>
      </c>
      <c r="F29" s="93">
        <v>2</v>
      </c>
      <c r="G29" s="71">
        <f t="shared" si="0"/>
        <v>1</v>
      </c>
      <c r="H29" s="71">
        <f t="shared" si="1"/>
        <v>1</v>
      </c>
    </row>
    <row r="30" customFormat="1" spans="1:8">
      <c r="A30" s="99" t="s">
        <v>117</v>
      </c>
      <c r="B30" s="100"/>
      <c r="C30" s="100"/>
      <c r="D30" s="100"/>
      <c r="E30" s="100"/>
      <c r="F30" s="100"/>
      <c r="G30" s="100"/>
      <c r="H30" s="101">
        <f>(+F3+F4+F5+F6+F7+F8+F9+F10+F11+F15+F16+F12+F13+F14+F29+F19+F20+F17+F18+F21+F23+F24+F25+F26+F27+F28+F22)/(D3+D4+D6+D7+D8+D9+D10+D11+D5+D16+D12+D26+D27+D28+D15+D17+D18+D19+D20+D21+D13+D14+D29+D23+D24+D25+D22)</f>
        <v>0.91</v>
      </c>
    </row>
    <row r="31" customFormat="1" ht="18.75" spans="1:8">
      <c r="A31" s="102" t="s">
        <v>118</v>
      </c>
      <c r="B31" s="102"/>
      <c r="C31" s="102"/>
      <c r="D31" s="102"/>
      <c r="E31" s="102"/>
      <c r="F31" s="102"/>
      <c r="G31" s="102"/>
      <c r="H31" s="103">
        <f>H30</f>
        <v>0.91</v>
      </c>
    </row>
    <row r="32" spans="1:7">
      <c r="A32" s="104" t="s">
        <v>119</v>
      </c>
      <c r="B32" s="104"/>
      <c r="C32" s="104"/>
      <c r="D32" s="104"/>
      <c r="E32" s="104"/>
      <c r="F32" s="104"/>
      <c r="G32" s="104"/>
    </row>
  </sheetData>
  <mergeCells count="13">
    <mergeCell ref="A1:H1"/>
    <mergeCell ref="B2:C2"/>
    <mergeCell ref="A30:G30"/>
    <mergeCell ref="A31:G31"/>
    <mergeCell ref="A32:G32"/>
    <mergeCell ref="B3:B7"/>
    <mergeCell ref="B8:B11"/>
    <mergeCell ref="B12:B14"/>
    <mergeCell ref="B18:B20"/>
    <mergeCell ref="B26:B29"/>
    <mergeCell ref="H3:H7"/>
    <mergeCell ref="H8:H11"/>
    <mergeCell ref="H12:H14"/>
  </mergeCells>
  <pageMargins left="0.75" right="0.75" top="1" bottom="1" header="0.5" footer="0.5"/>
  <pageSetup paperSize="9" scale="71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3"/>
  <sheetViews>
    <sheetView view="pageBreakPreview" zoomScaleNormal="100" workbookViewId="0">
      <selection activeCell="G20" sqref="G20"/>
    </sheetView>
  </sheetViews>
  <sheetFormatPr defaultColWidth="8.725" defaultRowHeight="13.5"/>
  <cols>
    <col min="2" max="2" width="8.125" customWidth="1"/>
    <col min="3" max="3" width="5.375" customWidth="1"/>
    <col min="4" max="4" width="10" customWidth="1"/>
    <col min="5" max="5" width="5.375" customWidth="1"/>
    <col min="6" max="6" width="42.275" customWidth="1"/>
    <col min="7" max="7" width="9"/>
    <col min="8" max="8" width="11.875" customWidth="1"/>
    <col min="9" max="9" width="8.625" customWidth="1"/>
  </cols>
  <sheetData>
    <row r="1" ht="18.75" spans="1:9">
      <c r="A1" s="3" t="s">
        <v>120</v>
      </c>
      <c r="B1" s="3"/>
      <c r="C1" s="3"/>
      <c r="D1" s="3"/>
      <c r="E1" s="3"/>
      <c r="F1" s="3"/>
      <c r="G1" s="3"/>
      <c r="H1" s="3"/>
      <c r="I1" s="3"/>
    </row>
    <row r="2" customFormat="1" customHeight="1" spans="1:9">
      <c r="A2" s="4" t="s">
        <v>1</v>
      </c>
      <c r="B2" s="4" t="s">
        <v>2</v>
      </c>
      <c r="C2" s="4"/>
      <c r="D2" s="4" t="s">
        <v>3</v>
      </c>
      <c r="E2" s="4"/>
      <c r="F2" s="5" t="s">
        <v>4</v>
      </c>
      <c r="G2" s="4" t="s">
        <v>5</v>
      </c>
      <c r="H2" s="6" t="s">
        <v>6</v>
      </c>
      <c r="I2" s="4" t="s">
        <v>7</v>
      </c>
    </row>
    <row r="3" customFormat="1" customHeight="1" spans="1:9">
      <c r="A3" s="4"/>
      <c r="B3" s="4" t="s">
        <v>8</v>
      </c>
      <c r="C3" s="4" t="s">
        <v>9</v>
      </c>
      <c r="D3" s="4" t="s">
        <v>8</v>
      </c>
      <c r="E3" s="4" t="s">
        <v>9</v>
      </c>
      <c r="F3" s="7"/>
      <c r="G3" s="4"/>
      <c r="H3" s="8"/>
      <c r="I3" s="4"/>
    </row>
    <row r="4" customFormat="1" spans="1:9">
      <c r="A4" s="5"/>
      <c r="B4" s="5"/>
      <c r="C4" s="5"/>
      <c r="D4" s="5"/>
      <c r="E4" s="5"/>
      <c r="F4" s="7"/>
      <c r="G4" s="4"/>
      <c r="H4" s="8"/>
      <c r="I4" s="4"/>
    </row>
    <row r="5" customFormat="1" ht="40.5" spans="1:9">
      <c r="A5" s="9">
        <v>1</v>
      </c>
      <c r="B5" s="9" t="s">
        <v>121</v>
      </c>
      <c r="C5" s="10">
        <v>0.3</v>
      </c>
      <c r="D5" s="9" t="s">
        <v>122</v>
      </c>
      <c r="E5" s="9">
        <v>0.05</v>
      </c>
      <c r="F5" s="78" t="s">
        <v>123</v>
      </c>
      <c r="G5" s="9">
        <f>IF((MID(F5,1,3)*1)&lt;=1,MID(F5,1,3)*1,1.1)</f>
        <v>0.8</v>
      </c>
      <c r="H5" s="16">
        <f t="shared" ref="H5:H12" si="0">(G5*E5)/E5</f>
        <v>0.8</v>
      </c>
      <c r="I5" s="17">
        <f>IF(H5*(E5/C5)+H6*(E6/C5)+H7*(E7/C5)+H8*(E8/C5)&gt;1,1,H5*(E5/C5)+H6*(E6/C5)+H7*(E7/C5)+H8*(E8/C5))</f>
        <v>0.9</v>
      </c>
    </row>
    <row r="6" customFormat="1" ht="27" spans="1:9">
      <c r="A6" s="9">
        <v>2</v>
      </c>
      <c r="B6" s="9"/>
      <c r="C6" s="13"/>
      <c r="D6" s="9" t="s">
        <v>124</v>
      </c>
      <c r="E6" s="9">
        <v>0.1</v>
      </c>
      <c r="F6" s="78" t="s">
        <v>125</v>
      </c>
      <c r="G6" s="9">
        <f t="shared" ref="G6:G12" si="1">IF((MID(F6,1,3)*1)&lt;=1,MID(F6,1,3)*1,1.1)</f>
        <v>1.1</v>
      </c>
      <c r="H6" s="16">
        <f t="shared" si="0"/>
        <v>1.1</v>
      </c>
      <c r="I6" s="83"/>
    </row>
    <row r="7" customFormat="1" ht="27" spans="1:9">
      <c r="A7" s="9">
        <v>3</v>
      </c>
      <c r="B7" s="9"/>
      <c r="C7" s="13"/>
      <c r="D7" s="9" t="s">
        <v>126</v>
      </c>
      <c r="E7" s="9">
        <v>0.05</v>
      </c>
      <c r="F7" s="78" t="s">
        <v>127</v>
      </c>
      <c r="G7" s="9">
        <f t="shared" si="1"/>
        <v>0.2</v>
      </c>
      <c r="H7" s="16">
        <f t="shared" si="0"/>
        <v>0.2</v>
      </c>
      <c r="I7" s="83"/>
    </row>
    <row r="8" customFormat="1" ht="27" spans="1:9">
      <c r="A8" s="9">
        <v>4</v>
      </c>
      <c r="B8" s="9"/>
      <c r="C8" s="14"/>
      <c r="D8" s="9" t="s">
        <v>128</v>
      </c>
      <c r="E8" s="9">
        <v>0.1</v>
      </c>
      <c r="F8" s="78" t="s">
        <v>129</v>
      </c>
      <c r="G8" s="9">
        <f t="shared" si="1"/>
        <v>1.1</v>
      </c>
      <c r="H8" s="16">
        <f t="shared" si="0"/>
        <v>1.1</v>
      </c>
      <c r="I8" s="84"/>
    </row>
    <row r="9" customFormat="1" ht="27" spans="1:9">
      <c r="A9" s="9">
        <v>5</v>
      </c>
      <c r="B9" s="9" t="s">
        <v>130</v>
      </c>
      <c r="C9" s="10">
        <v>0.7</v>
      </c>
      <c r="D9" s="9" t="s">
        <v>131</v>
      </c>
      <c r="E9" s="9">
        <v>0.1</v>
      </c>
      <c r="F9" s="78" t="s">
        <v>132</v>
      </c>
      <c r="G9" s="9">
        <f t="shared" si="1"/>
        <v>0</v>
      </c>
      <c r="H9" s="16">
        <f t="shared" si="0"/>
        <v>0</v>
      </c>
      <c r="I9" s="17">
        <f>IF(H9*(E9/C9)+H10*(E10/C9)+H11*(E11/C9)+H12*(E12/C9)&gt;1,1,H9*(E9/C9)+H10*(E10/C9)+H11*(E11/C9)+H12*(E12/C9))</f>
        <v>0.9</v>
      </c>
    </row>
    <row r="10" customFormat="1" spans="1:9">
      <c r="A10" s="9">
        <v>6</v>
      </c>
      <c r="B10" s="9"/>
      <c r="C10" s="13"/>
      <c r="D10" s="9" t="s">
        <v>133</v>
      </c>
      <c r="E10" s="9">
        <v>0.2</v>
      </c>
      <c r="F10" s="78" t="s">
        <v>134</v>
      </c>
      <c r="G10" s="9">
        <f t="shared" si="1"/>
        <v>1</v>
      </c>
      <c r="H10" s="16">
        <f t="shared" si="0"/>
        <v>1</v>
      </c>
      <c r="I10" s="83"/>
    </row>
    <row r="11" customFormat="1" spans="1:9">
      <c r="A11" s="9">
        <v>7</v>
      </c>
      <c r="B11" s="9"/>
      <c r="C11" s="13"/>
      <c r="D11" s="9" t="s">
        <v>135</v>
      </c>
      <c r="E11" s="9">
        <v>0.3</v>
      </c>
      <c r="F11" s="78" t="s">
        <v>136</v>
      </c>
      <c r="G11" s="9">
        <f t="shared" si="1"/>
        <v>1.1</v>
      </c>
      <c r="H11" s="16">
        <f t="shared" si="0"/>
        <v>1.1</v>
      </c>
      <c r="I11" s="83"/>
    </row>
    <row r="12" customFormat="1" spans="1:9">
      <c r="A12" s="9">
        <v>8</v>
      </c>
      <c r="B12" s="9"/>
      <c r="C12" s="14"/>
      <c r="D12" s="9" t="s">
        <v>137</v>
      </c>
      <c r="E12" s="9">
        <v>0.1</v>
      </c>
      <c r="F12" s="78" t="s">
        <v>138</v>
      </c>
      <c r="G12" s="9">
        <f t="shared" si="1"/>
        <v>1</v>
      </c>
      <c r="H12" s="16">
        <f t="shared" si="0"/>
        <v>1</v>
      </c>
      <c r="I12" s="84"/>
    </row>
    <row r="13" customFormat="1" spans="1:9">
      <c r="A13" s="79">
        <v>9</v>
      </c>
      <c r="B13" s="80" t="s">
        <v>69</v>
      </c>
      <c r="C13" s="81"/>
      <c r="D13" s="81"/>
      <c r="E13" s="81"/>
      <c r="F13" s="81"/>
      <c r="G13" s="81"/>
      <c r="H13" s="82"/>
      <c r="I13" s="16">
        <f>I5*C5+I9*C9</f>
        <v>0.9</v>
      </c>
    </row>
  </sheetData>
  <mergeCells count="19">
    <mergeCell ref="A1:I1"/>
    <mergeCell ref="B2:C2"/>
    <mergeCell ref="D2:E2"/>
    <mergeCell ref="B13:H13"/>
    <mergeCell ref="A2:A4"/>
    <mergeCell ref="B3:B4"/>
    <mergeCell ref="B5:B8"/>
    <mergeCell ref="B9:B12"/>
    <mergeCell ref="C3:C4"/>
    <mergeCell ref="C5:C8"/>
    <mergeCell ref="C9:C12"/>
    <mergeCell ref="D3:D4"/>
    <mergeCell ref="E3:E4"/>
    <mergeCell ref="F2:F4"/>
    <mergeCell ref="G2:G4"/>
    <mergeCell ref="H2:H4"/>
    <mergeCell ref="I2:I4"/>
    <mergeCell ref="I5:I8"/>
    <mergeCell ref="I9:I12"/>
  </mergeCells>
  <dataValidations count="8">
    <dataValidation type="list" allowBlank="1" showInputMessage="1" showErrorMessage="1" sqref="F7">
      <formula1>"1.1分：先进支护技术所配套装备,1.0分：压桩机，配合挖掘机、装载机,0.8分：基于暗挖喷锚技术的单臂掘进机，配合电瓶车出渣；基于明开喷锚或排管技术的挖掘机，配合装载机,0.2分：人工开挖+电瓶车出渣+喷锚（暗挖）"</formula1>
    </dataValidation>
    <dataValidation type="list" allowBlank="1" showInputMessage="1" showErrorMessage="1" sqref="F5">
      <formula1>"1.1分：先进支护技术所配套装备,1.0分：基于排桩体系支护技术的旋挖钻机、长螺旋钻机，配合挖掘机、装载机；基于连续墙体系支护技术的成槽机、铣槽机，配合挖掘机；基于钢板桩或钢管桩支护技术的压桩机，配合挖掘机、装载机,0.8分：基于排桩体系支护技术的正、反循环钻机，配合挖掘机、装载机；基于锚喷技术的挖掘机、水磨钻机、龙门吊,0.0分：人工开挖（直埋，自然放坡）"</formula1>
    </dataValidation>
    <dataValidation type="list" allowBlank="1" showInputMessage="1" showErrorMessage="1" sqref="F12">
      <formula1>"1.1分：电缆敷设智能化控制装备等,1.0分：专用电缆提升就位装置,0.8分：倒链或顶（拿）器,0.0分：人工就位"</formula1>
    </dataValidation>
    <dataValidation type="list" allowBlank="1" showInputMessage="1" showErrorMessage="1" sqref="F6">
      <formula1>"1.1分：先进的专用起重机,1.0分：基于预制装配式竖井的流动式起重机,0.2分：人工绑筋支模、泵车浇筑,0.0分：人工绑筋、支模、浇筑；人工砖砌"</formula1>
    </dataValidation>
    <dataValidation type="list" allowBlank="1" showInputMessage="1" showErrorMessage="1" sqref="F8">
      <formula1>"1.1分：浅埋暗挖台车、盾构机、顶管机等小型化、集成化装备,1.0分：装载机与流动式起重机组装预制箱涵/管涵/管节/排管;拉管机配合定向钻机,0.8分：挖掘机+人工绑筋、支模、泵车浇筑（明开、排管、暗挖）,0.0分：人工绑筋、支模、浇筑（明开、排管、暗挖）"</formula1>
    </dataValidation>
    <dataValidation type="list" allowBlank="1" showInputMessage="1" showErrorMessage="1" sqref="F9">
      <formula1>"1.1分：电缆敷设智能化控制装备等,1.0分：运输车+吊车,0.0分：人工搬运"</formula1>
    </dataValidation>
    <dataValidation type="list" allowBlank="1" showInputMessage="1" showErrorMessage="1" sqref="F11">
      <formula1>"1.1分：电缆敷设智能化控制装备等,1.0分：电缆输送机、电动导轮、牵引机与电缆输送机,0.8分：牵引机,0.0分：人工敷设"</formula1>
    </dataValidation>
    <dataValidation type="list" allowBlank="1" showInputMessage="1" showErrorMessage="1" sqref="F10">
      <formula1>"1.1分：电缆敷设智能化控制装备等,1.0分：展放支架具备驱动、制动联动功能,0.8分：展放支架具备制动功能,0.2分：展放支架不具备制动功能,0.0分：简陋支架"</formula1>
    </dataValidation>
  </dataValidations>
  <pageMargins left="0.75" right="0.75" top="1" bottom="1" header="0.5" footer="0.5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8"/>
  <sheetViews>
    <sheetView view="pageBreakPreview" zoomScaleNormal="100" workbookViewId="0">
      <selection activeCell="D20" sqref="D20:E20"/>
    </sheetView>
  </sheetViews>
  <sheetFormatPr defaultColWidth="8.725" defaultRowHeight="13.5"/>
  <cols>
    <col min="1" max="1" width="6.625" customWidth="1"/>
    <col min="2" max="5" width="8.625" customWidth="1"/>
    <col min="6" max="6" width="50.625" customWidth="1"/>
    <col min="7" max="9" width="8.625" customWidth="1"/>
    <col min="10" max="16384" width="9"/>
  </cols>
  <sheetData>
    <row r="1" ht="18.75" spans="1:9">
      <c r="A1" s="3" t="s">
        <v>139</v>
      </c>
      <c r="B1" s="2"/>
      <c r="C1" s="2"/>
      <c r="D1" s="2"/>
      <c r="E1" s="2"/>
      <c r="F1" s="2"/>
      <c r="G1" s="2"/>
      <c r="H1" s="2"/>
      <c r="I1" s="2"/>
    </row>
    <row r="2" s="31" customFormat="1" ht="20" customHeight="1" spans="1:9">
      <c r="A2" s="34" t="s">
        <v>1</v>
      </c>
      <c r="B2" s="34" t="s">
        <v>2</v>
      </c>
      <c r="C2" s="34"/>
      <c r="D2" s="34" t="s">
        <v>3</v>
      </c>
      <c r="E2" s="34"/>
      <c r="F2" s="34" t="s">
        <v>4</v>
      </c>
      <c r="G2" s="34" t="s">
        <v>5</v>
      </c>
      <c r="H2" s="35" t="s">
        <v>6</v>
      </c>
      <c r="I2" s="34" t="s">
        <v>7</v>
      </c>
    </row>
    <row r="3" s="31" customFormat="1" ht="20" customHeight="1" spans="1:9">
      <c r="A3" s="34"/>
      <c r="B3" s="34" t="s">
        <v>8</v>
      </c>
      <c r="C3" s="34" t="s">
        <v>9</v>
      </c>
      <c r="D3" s="34" t="s">
        <v>8</v>
      </c>
      <c r="E3" s="34" t="s">
        <v>9</v>
      </c>
      <c r="F3" s="34"/>
      <c r="G3" s="34"/>
      <c r="H3" s="36"/>
      <c r="I3" s="34"/>
    </row>
    <row r="4" s="31" customFormat="1" ht="20" customHeight="1" spans="1:9">
      <c r="A4" s="34"/>
      <c r="B4" s="34"/>
      <c r="C4" s="34"/>
      <c r="D4" s="34"/>
      <c r="E4" s="34"/>
      <c r="F4" s="34"/>
      <c r="G4" s="34"/>
      <c r="H4" s="36"/>
      <c r="I4" s="34"/>
    </row>
    <row r="5" s="31" customFormat="1" ht="60" customHeight="1" spans="1:9">
      <c r="A5" s="37">
        <v>1</v>
      </c>
      <c r="B5" s="37" t="s">
        <v>10</v>
      </c>
      <c r="C5" s="37">
        <v>0.1</v>
      </c>
      <c r="D5" s="37" t="s">
        <v>10</v>
      </c>
      <c r="E5" s="37">
        <v>0.1</v>
      </c>
      <c r="F5" s="38" t="s">
        <v>140</v>
      </c>
      <c r="G5" s="37">
        <f>IF((MID(F5,1,3)*1)&lt;=1,MID(F5,1,3)*1,1.1)</f>
        <v>1.1</v>
      </c>
      <c r="H5" s="39">
        <f>(G5*E5)/E5</f>
        <v>1.1</v>
      </c>
      <c r="I5" s="39">
        <f>IF(H5*(E5/C5)&gt;1,1,H5*(E5/C5))</f>
        <v>1</v>
      </c>
    </row>
    <row r="6" s="31" customFormat="1" ht="60" customHeight="1" spans="1:9">
      <c r="A6" s="37">
        <v>2</v>
      </c>
      <c r="B6" s="37" t="s">
        <v>39</v>
      </c>
      <c r="C6" s="37">
        <v>0.5</v>
      </c>
      <c r="D6" s="40" t="s">
        <v>141</v>
      </c>
      <c r="E6" s="37">
        <v>0.15</v>
      </c>
      <c r="F6" s="41" t="s">
        <v>142</v>
      </c>
      <c r="G6" s="37">
        <f t="shared" ref="G6:G14" si="0">IF((MID(F6,1,3)*1)&lt;=1,MID(F6,1,3)*1,1.1)</f>
        <v>1.1</v>
      </c>
      <c r="H6" s="39">
        <f t="shared" ref="H6:H14" si="1">(G6*E6)/E6</f>
        <v>1.1</v>
      </c>
      <c r="I6" s="71">
        <f>IF(H6*(E6/C6)+H7*(E7/C6)+H8*(E8/C6)+H9*(E9/C6)+H10*(E10/C6)&gt;1,1,H6*(E6/C6)+H7*(E7/C6)+H8*(E8/C6)+H9*(E9/C6)+H10*(E10/C6))</f>
        <v>1</v>
      </c>
    </row>
    <row r="7" s="31" customFormat="1" ht="60" customHeight="1" spans="1:9">
      <c r="A7" s="37">
        <v>3</v>
      </c>
      <c r="B7" s="37"/>
      <c r="C7" s="37"/>
      <c r="D7" s="37" t="s">
        <v>143</v>
      </c>
      <c r="E7" s="37">
        <v>0.05</v>
      </c>
      <c r="F7" s="41" t="s">
        <v>144</v>
      </c>
      <c r="G7" s="37">
        <f t="shared" si="0"/>
        <v>1</v>
      </c>
      <c r="H7" s="39">
        <f t="shared" si="1"/>
        <v>1</v>
      </c>
      <c r="I7" s="71"/>
    </row>
    <row r="8" s="31" customFormat="1" ht="60" customHeight="1" spans="1:9">
      <c r="A8" s="37">
        <v>4</v>
      </c>
      <c r="B8" s="37"/>
      <c r="C8" s="37"/>
      <c r="D8" s="37" t="s">
        <v>145</v>
      </c>
      <c r="E8" s="37">
        <v>0.1</v>
      </c>
      <c r="F8" s="41" t="s">
        <v>146</v>
      </c>
      <c r="G8" s="37">
        <f t="shared" si="0"/>
        <v>1.1</v>
      </c>
      <c r="H8" s="39">
        <f t="shared" si="1"/>
        <v>1.1</v>
      </c>
      <c r="I8" s="71"/>
    </row>
    <row r="9" s="31" customFormat="1" ht="60" customHeight="1" spans="1:9">
      <c r="A9" s="37">
        <v>5</v>
      </c>
      <c r="B9" s="37"/>
      <c r="C9" s="37"/>
      <c r="D9" s="37" t="s">
        <v>147</v>
      </c>
      <c r="E9" s="37">
        <v>0.15</v>
      </c>
      <c r="F9" s="41" t="s">
        <v>148</v>
      </c>
      <c r="G9" s="37">
        <f t="shared" si="0"/>
        <v>1.1</v>
      </c>
      <c r="H9" s="39">
        <f t="shared" si="1"/>
        <v>1.1</v>
      </c>
      <c r="I9" s="71"/>
    </row>
    <row r="10" s="31" customFormat="1" ht="60" customHeight="1" spans="1:9">
      <c r="A10" s="37">
        <v>6</v>
      </c>
      <c r="B10" s="37"/>
      <c r="C10" s="37"/>
      <c r="D10" s="40" t="s">
        <v>149</v>
      </c>
      <c r="E10" s="37">
        <v>0.05</v>
      </c>
      <c r="F10" s="38" t="s">
        <v>150</v>
      </c>
      <c r="G10" s="37">
        <f t="shared" si="0"/>
        <v>1.1</v>
      </c>
      <c r="H10" s="39">
        <f t="shared" si="1"/>
        <v>1.1</v>
      </c>
      <c r="I10" s="72"/>
    </row>
    <row r="11" s="32" customFormat="1" ht="60" customHeight="1" spans="1:9">
      <c r="A11" s="37">
        <v>7</v>
      </c>
      <c r="B11" s="37" t="s">
        <v>50</v>
      </c>
      <c r="C11" s="37">
        <v>0.4</v>
      </c>
      <c r="D11" s="40" t="s">
        <v>151</v>
      </c>
      <c r="E11" s="37">
        <v>0.15</v>
      </c>
      <c r="F11" s="38" t="s">
        <v>152</v>
      </c>
      <c r="G11" s="37">
        <f t="shared" si="0"/>
        <v>1.1</v>
      </c>
      <c r="H11" s="39">
        <f t="shared" si="1"/>
        <v>1.1</v>
      </c>
      <c r="I11" s="71">
        <f>IF(H11*(E11/C11)+H12*(E12/C11)+H13*(E13/C11)+H14*(E14/C11)&gt;1,1,H11*(E11/C11)+H12*(E12/C11)+H13*(E13/C11)+H14*(E14/C11))</f>
        <v>1</v>
      </c>
    </row>
    <row r="12" s="31" customFormat="1" ht="60" customHeight="1" spans="1:9">
      <c r="A12" s="37">
        <v>8</v>
      </c>
      <c r="B12" s="37"/>
      <c r="C12" s="37"/>
      <c r="D12" s="40" t="s">
        <v>153</v>
      </c>
      <c r="E12" s="37">
        <v>0.1</v>
      </c>
      <c r="F12" s="41" t="s">
        <v>154</v>
      </c>
      <c r="G12" s="37">
        <f t="shared" si="0"/>
        <v>1</v>
      </c>
      <c r="H12" s="39">
        <f t="shared" si="1"/>
        <v>1</v>
      </c>
      <c r="I12" s="71"/>
    </row>
    <row r="13" s="31" customFormat="1" ht="60" customHeight="1" spans="1:9">
      <c r="A13" s="37">
        <v>9</v>
      </c>
      <c r="B13" s="37"/>
      <c r="C13" s="37"/>
      <c r="D13" s="40" t="s">
        <v>155</v>
      </c>
      <c r="E13" s="37">
        <v>0.1</v>
      </c>
      <c r="F13" s="41" t="s">
        <v>156</v>
      </c>
      <c r="G13" s="37">
        <f t="shared" si="0"/>
        <v>1.1</v>
      </c>
      <c r="H13" s="39">
        <f t="shared" si="1"/>
        <v>1.1</v>
      </c>
      <c r="I13" s="71"/>
    </row>
    <row r="14" s="31" customFormat="1" ht="60" customHeight="1" spans="1:9">
      <c r="A14" s="37">
        <v>10</v>
      </c>
      <c r="B14" s="37"/>
      <c r="C14" s="37"/>
      <c r="D14" s="40" t="s">
        <v>157</v>
      </c>
      <c r="E14" s="37">
        <v>0.05</v>
      </c>
      <c r="F14" s="42" t="s">
        <v>158</v>
      </c>
      <c r="G14" s="37">
        <f t="shared" si="0"/>
        <v>1</v>
      </c>
      <c r="H14" s="39">
        <f t="shared" si="1"/>
        <v>1</v>
      </c>
      <c r="I14" s="71"/>
    </row>
    <row r="15" s="31" customFormat="1" ht="27" customHeight="1" spans="1:9">
      <c r="A15" s="43">
        <v>11</v>
      </c>
      <c r="B15" s="44" t="s">
        <v>69</v>
      </c>
      <c r="C15" s="45"/>
      <c r="D15" s="45"/>
      <c r="E15" s="45"/>
      <c r="F15" s="45"/>
      <c r="G15" s="45"/>
      <c r="H15" s="46"/>
      <c r="I15" s="39">
        <f>I5*C5+I6*C6+I11*C11</f>
        <v>1</v>
      </c>
    </row>
    <row r="16" s="31" customFormat="1" ht="60" customHeight="1" spans="1:9">
      <c r="A16" s="47" t="s">
        <v>159</v>
      </c>
      <c r="B16" s="48"/>
      <c r="C16" s="48"/>
      <c r="D16" s="48"/>
      <c r="E16" s="48"/>
      <c r="F16" s="48"/>
      <c r="G16" s="48"/>
      <c r="H16" s="48"/>
      <c r="I16" s="73"/>
    </row>
    <row r="17" s="33" customFormat="1" ht="60" customHeight="1" spans="1:9">
      <c r="A17" s="49" t="s">
        <v>1</v>
      </c>
      <c r="B17" s="49" t="s">
        <v>72</v>
      </c>
      <c r="C17" s="49"/>
      <c r="D17" s="49" t="s">
        <v>73</v>
      </c>
      <c r="E17" s="49"/>
      <c r="F17" s="50" t="s">
        <v>74</v>
      </c>
      <c r="G17" s="49" t="s">
        <v>5</v>
      </c>
      <c r="H17" s="49" t="s">
        <v>75</v>
      </c>
      <c r="I17" s="49" t="s">
        <v>160</v>
      </c>
    </row>
    <row r="18" s="31" customFormat="1" ht="60" customHeight="1" spans="1:9">
      <c r="A18" s="49">
        <v>1</v>
      </c>
      <c r="B18" s="49" t="s">
        <v>78</v>
      </c>
      <c r="C18" s="49"/>
      <c r="D18" s="49">
        <v>10</v>
      </c>
      <c r="E18" s="49"/>
      <c r="F18" s="51" t="s">
        <v>161</v>
      </c>
      <c r="G18" s="52"/>
      <c r="H18" s="39">
        <f>G18/D18</f>
        <v>0</v>
      </c>
      <c r="I18" s="43"/>
    </row>
    <row r="19" s="31" customFormat="1" ht="60" customHeight="1" spans="1:9">
      <c r="A19" s="49">
        <v>2</v>
      </c>
      <c r="B19" s="49" t="s">
        <v>162</v>
      </c>
      <c r="C19" s="49"/>
      <c r="D19" s="49">
        <v>40</v>
      </c>
      <c r="E19" s="49"/>
      <c r="F19" s="51" t="s">
        <v>161</v>
      </c>
      <c r="G19" s="52">
        <v>40</v>
      </c>
      <c r="H19" s="39">
        <f>G19/D19</f>
        <v>1</v>
      </c>
      <c r="I19" s="43"/>
    </row>
    <row r="20" s="31" customFormat="1" ht="60" customHeight="1" spans="1:9">
      <c r="A20" s="49">
        <v>3</v>
      </c>
      <c r="B20" s="49" t="s">
        <v>84</v>
      </c>
      <c r="C20" s="49"/>
      <c r="D20" s="49">
        <v>40</v>
      </c>
      <c r="E20" s="49"/>
      <c r="F20" s="51" t="s">
        <v>163</v>
      </c>
      <c r="G20" s="52">
        <v>40</v>
      </c>
      <c r="H20" s="39">
        <f>G20/D20</f>
        <v>1</v>
      </c>
      <c r="I20" s="43"/>
    </row>
    <row r="21" s="31" customFormat="1" ht="60" customHeight="1" spans="1:9">
      <c r="A21" s="49">
        <v>4</v>
      </c>
      <c r="B21" s="49" t="s">
        <v>85</v>
      </c>
      <c r="C21" s="49"/>
      <c r="D21" s="49">
        <v>10</v>
      </c>
      <c r="E21" s="49"/>
      <c r="F21" s="51" t="s">
        <v>164</v>
      </c>
      <c r="G21" s="52"/>
      <c r="H21" s="39">
        <f>G21/D21</f>
        <v>0</v>
      </c>
      <c r="I21" s="43"/>
    </row>
    <row r="22" s="31" customFormat="1" ht="27" customHeight="1" spans="1:9">
      <c r="A22" s="53" t="s">
        <v>165</v>
      </c>
      <c r="B22" s="54"/>
      <c r="C22" s="54"/>
      <c r="D22" s="54"/>
      <c r="E22" s="54"/>
      <c r="F22" s="54"/>
      <c r="G22" s="54"/>
      <c r="H22" s="55"/>
      <c r="I22" s="74">
        <f>(G18+G19+G20+G21)/(D18+D19+D20+D21)</f>
        <v>0.8</v>
      </c>
    </row>
    <row r="23" s="31" customFormat="1" spans="1:9">
      <c r="A23" s="56" t="s">
        <v>166</v>
      </c>
      <c r="B23" s="57"/>
      <c r="C23" s="57"/>
      <c r="D23" s="57"/>
      <c r="E23" s="57"/>
      <c r="F23" s="57"/>
      <c r="G23" s="57"/>
      <c r="H23" s="58"/>
      <c r="I23" s="75"/>
    </row>
    <row r="24" s="31" customFormat="1" spans="1:9">
      <c r="A24" s="59"/>
      <c r="B24" s="60"/>
      <c r="C24" s="60"/>
      <c r="D24" s="60"/>
      <c r="E24" s="60"/>
      <c r="F24" s="60"/>
      <c r="G24" s="60"/>
      <c r="H24" s="61"/>
      <c r="I24" s="76"/>
    </row>
    <row r="25" s="31" customFormat="1" spans="1:9">
      <c r="A25" s="59"/>
      <c r="B25" s="60"/>
      <c r="C25" s="60"/>
      <c r="D25" s="60"/>
      <c r="E25" s="60"/>
      <c r="F25" s="60"/>
      <c r="G25" s="60"/>
      <c r="H25" s="61"/>
      <c r="I25" s="76"/>
    </row>
    <row r="26" s="31" customFormat="1" spans="1:9">
      <c r="A26" s="62"/>
      <c r="B26" s="63"/>
      <c r="C26" s="63"/>
      <c r="D26" s="63"/>
      <c r="E26" s="63"/>
      <c r="F26" s="63"/>
      <c r="G26" s="63"/>
      <c r="H26" s="64"/>
      <c r="I26" s="77"/>
    </row>
    <row r="27" s="31" customFormat="1" spans="1:9">
      <c r="A27" s="65" t="s">
        <v>167</v>
      </c>
      <c r="B27" s="66"/>
      <c r="C27" s="66"/>
      <c r="D27" s="66"/>
      <c r="E27" s="66"/>
      <c r="F27" s="66"/>
      <c r="G27" s="66"/>
      <c r="H27" s="67"/>
      <c r="I27" s="39">
        <f>(I22*0.3)+(I15*0.7)</f>
        <v>0.94</v>
      </c>
    </row>
    <row r="28" s="31" customFormat="1" spans="1:9">
      <c r="A28" s="68"/>
      <c r="B28" s="69"/>
      <c r="C28" s="69"/>
      <c r="D28" s="69"/>
      <c r="E28" s="69"/>
      <c r="F28" s="69"/>
      <c r="G28" s="69"/>
      <c r="H28" s="70"/>
      <c r="I28" s="39"/>
    </row>
  </sheetData>
  <mergeCells count="35">
    <mergeCell ref="A1:I1"/>
    <mergeCell ref="B2:C2"/>
    <mergeCell ref="D2:E2"/>
    <mergeCell ref="B15:H15"/>
    <mergeCell ref="A16:I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A22:H22"/>
    <mergeCell ref="A2:A4"/>
    <mergeCell ref="B3:B4"/>
    <mergeCell ref="B6:B10"/>
    <mergeCell ref="B11:B14"/>
    <mergeCell ref="C3:C4"/>
    <mergeCell ref="C6:C10"/>
    <mergeCell ref="C11:C14"/>
    <mergeCell ref="D3:D4"/>
    <mergeCell ref="E3:E4"/>
    <mergeCell ref="F2:F4"/>
    <mergeCell ref="G2:G4"/>
    <mergeCell ref="H2:H4"/>
    <mergeCell ref="I2:I4"/>
    <mergeCell ref="I6:I10"/>
    <mergeCell ref="I11:I14"/>
    <mergeCell ref="I23:I26"/>
    <mergeCell ref="I27:I28"/>
    <mergeCell ref="A23:H26"/>
    <mergeCell ref="A27:H28"/>
  </mergeCells>
  <dataValidations count="10">
    <dataValidation type="list" allowBlank="1" showInputMessage="1" showErrorMessage="1" sqref="F7">
      <formula1>"1.0分：全站仪、流动式起重机、高空作业车、钢筋调直机、钢筋切断机、弯箍机、钢筋捆扎机、钢筋绑扎机、混凝土泵车、光学/激光铅垂仪、激光水平仪,0.8分：电子经纬仪、移动式混凝土搅拌机、插入式混凝土振捣器、电动扳手、电钻、电焊机、切割机、木工机床、手持式锯木机、发电机。,0.4分：水平尺、小型混凝土搅拌机,0.0分：人工开挖"</formula1>
    </dataValidation>
    <dataValidation type="list" allowBlank="1" showInputMessage="1" showErrorMessage="1" sqref="F5">
      <formula1>"1.1分：直升机/无人机物料吊运、机器狼、索道自动上下料装置、遥控索道牵引机、重型索道、多地形多功能运输车、电动山地双轨运输车、塔材运输车、步履式多功能作业车等新型先进装备,1.0分：履带/轮胎式运输车、轻型卡车、自卸汽车、窄轨履带运输车、水陆两用运输设备、沼泽钢轮车、轨道运输车、索道运输、组合式货运索道、临时路面铺收机,0.8分：低速货车、农用车、三轮汽车、,0.4分：机械+马帮运输,0.0分：人力运输/其"</formula1>
    </dataValidation>
    <dataValidation type="list" allowBlank="1" showInputMessage="1" showErrorMessage="1" sqref="F6">
      <formula1>"1.1分：激光整平机、钻孔立杆一体机等先进设备。,1.0分：全站仪、推土机、挖掘机、振动压路机、装载机、自卸汽车、挖掘机、静力压桩机、流动式起重机；螺旋打桩机、旋挖钻机、小型履带式运-挖作业车、振动压路机、电动卷扬提土机、流动式夯机、混凝土泵车,0.8分：水平仪、强夯机、压密注浆机、冲击钻、水准仪、电子经纬仪、遥控式/自走式振动平板夯机、移动式混凝土搅拌机、电钻、插入式振动棒、电动扳手、电焊机、发电机,0.4分：水平尺、手扶式夯机、小型混凝土搅拌机,0.0分：人工开挖"</formula1>
    </dataValidation>
    <dataValidation type="list" allowBlank="1" showInputMessage="1" showErrorMessage="1" sqref="F12">
      <formula1>"1.1分：新型先进装备,1.0分:万用表、钳表、微安表、接地摇表、电阻表、变比测试仪、试验变压器、控制操作箱（调压器）、回路电阻测试仪、机械特性测试仪、温湿度计"</formula1>
    </dataValidation>
    <dataValidation type="list" allowBlank="1" showInputMessage="1" showErrorMessage="1" sqref="F8">
      <formula1>"1.1分：采用机器人（自动钻孔、自动砌砖、自动抹灰）进行砌筑作业、喷涂机器人等先进设备,1.0分：流动式起重机、混凝土搅拌机、机械运输小车、剪叉式升降平台、高空作业车、金属切割机、无尘打磨机、涂料专用喷涂机。,0.8分：蓄电式电钻、砂轮机、木工机床、瓷砖切割机、钻孔机、激光水平仪、电焊机、简易脚手架、电源式电钻、水平尺、靠尺、人力运输小车,0.0分：人工开挖"</formula1>
    </dataValidation>
    <dataValidation type="list" allowBlank="1" showInputMessage="1" showErrorMessage="1" sqref="F9">
      <formula1>"1.1分：新型推移支撑机械（千斤顶+滑轨同步推顶）、自动焊接机器人等先进设备,1.0分：全站仪、流动式起重机、高空作业车、液压平板车、剪叉式升降平台、混凝土泵车、光学/激光铅垂仪、激光水平仪、激光校准仪、注浆机,0.8分：电子经纬仪、叉车、移动式混凝土搅拌机、千斤顶、电焊机、切割机、木工机床、电动扳手、力矩扳手、电钻、发电机、插入式混凝土振捣器。,0.4分：水平尺、小型混凝土搅拌机、光学经纬仪、线坠/垂直检测尺、靠尺,0.0分：人工开挖"</formula1>
    </dataValidation>
    <dataValidation type="list" allowBlank="1" showInputMessage="1" showErrorMessage="1" sqref="F11">
      <formula1>"1.1分：车载微型电动吊运机器、工器具楼梯搬运装置等新型先进装备,1.0分：流动式起重机、叉车、10kV环网柜装运车、设备进配电房滑车、室内运输小车、弯排机、切排机、钻铣床、冲孔机、四合一母线排加工机、吊车、轻型电动压接机、钻铣床、电动扳手、力矩扳手、高空作业车、电动压接机、激光水平仪,0.8分：交/直流电焊机卷扬机、轨道小车、液压起重装备环链手扳葫芦、手拉环链葫芦、手动液压冲孔机、棘轮扳手、手扳葫芦、切割机、一体式母线排加工机、电动液压冲孔机、发电机、平板车"</formula1>
    </dataValidation>
    <dataValidation type="list" allowBlank="1" showInputMessage="1" showErrorMessage="1" sqref="F10">
      <formula1>"1.1分：高处作业平台车、钻孔立杆一体机、接地装置电动压接机、专用接地挖掘机等先进设备,1.0分：流动式起重机、电动扳手、挖掘机、电镐、路面切割机、电焊机、折弯机、热熔机、发电机,0.4分：手动扳手,0.0分：人工开挖"</formula1>
    </dataValidation>
    <dataValidation type="list" allowBlank="1" showInputMessage="1" showErrorMessage="1" sqref="F13">
      <formula1>"1.0分：流动式起重机、微型履带起重机、绞磨机、线缆支架、电动液压剪、电动剥线并线器、电动扳手,0.8分：手动液压剪、手动剥线器,1.1分：新型先进装备"</formula1>
    </dataValidation>
    <dataValidation type="list" allowBlank="1" showInputMessage="1" showErrorMessage="1" sqref="F14">
      <formula1>"1.1分：新型先进装备,1.0分：笔记本电脑、测试仪表、绝缘电阻表,0.8分：冲击钻、电钻、水平仪、焊接工具"</formula1>
    </dataValidation>
  </dataValidations>
  <pageMargins left="0.75" right="0.75" top="1" bottom="1" header="0.5" footer="0.5"/>
  <pageSetup paperSize="9" fitToHeight="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3"/>
  <sheetViews>
    <sheetView view="pageBreakPreview" zoomScaleNormal="100" workbookViewId="0">
      <selection activeCell="F9" sqref="F9"/>
    </sheetView>
  </sheetViews>
  <sheetFormatPr defaultColWidth="8.725" defaultRowHeight="13.5"/>
  <cols>
    <col min="1" max="1" width="6.625" customWidth="1"/>
    <col min="2" max="5" width="8.625" customWidth="1"/>
    <col min="6" max="6" width="50.625" customWidth="1"/>
    <col min="7" max="9" width="8.625" customWidth="1"/>
    <col min="10" max="16384" width="9"/>
  </cols>
  <sheetData>
    <row r="1" ht="18.75" spans="1:9">
      <c r="A1" s="3" t="s">
        <v>168</v>
      </c>
      <c r="B1" s="3"/>
      <c r="C1" s="3"/>
      <c r="D1" s="3"/>
      <c r="E1" s="3"/>
      <c r="F1" s="3"/>
      <c r="G1" s="3"/>
      <c r="H1" s="3"/>
      <c r="I1" s="3"/>
    </row>
    <row r="2" customFormat="1" ht="20" customHeight="1" spans="1:9">
      <c r="A2" s="18" t="s">
        <v>1</v>
      </c>
      <c r="B2" s="18" t="s">
        <v>2</v>
      </c>
      <c r="C2" s="19"/>
      <c r="D2" s="18" t="s">
        <v>3</v>
      </c>
      <c r="E2" s="18"/>
      <c r="F2" s="18" t="s">
        <v>169</v>
      </c>
      <c r="G2" s="18" t="s">
        <v>5</v>
      </c>
      <c r="H2" s="20" t="s">
        <v>6</v>
      </c>
      <c r="I2" s="18" t="s">
        <v>7</v>
      </c>
    </row>
    <row r="3" customFormat="1" ht="20" customHeight="1" spans="1:9">
      <c r="A3" s="18"/>
      <c r="B3" s="18" t="s">
        <v>8</v>
      </c>
      <c r="C3" s="18" t="s">
        <v>9</v>
      </c>
      <c r="D3" s="18" t="s">
        <v>8</v>
      </c>
      <c r="E3" s="18" t="s">
        <v>9</v>
      </c>
      <c r="F3" s="18"/>
      <c r="G3" s="18"/>
      <c r="H3" s="21"/>
      <c r="I3" s="18"/>
    </row>
    <row r="4" customFormat="1" ht="20" customHeight="1" spans="1:9">
      <c r="A4" s="18"/>
      <c r="B4" s="18"/>
      <c r="C4" s="18"/>
      <c r="D4" s="18"/>
      <c r="E4" s="18"/>
      <c r="F4" s="18"/>
      <c r="G4" s="18"/>
      <c r="H4" s="21"/>
      <c r="I4" s="18"/>
    </row>
    <row r="5" customFormat="1" ht="60" customHeight="1" spans="1:9">
      <c r="A5" s="22">
        <v>1</v>
      </c>
      <c r="B5" s="22" t="s">
        <v>10</v>
      </c>
      <c r="C5" s="22">
        <v>0.1</v>
      </c>
      <c r="D5" s="22" t="s">
        <v>10</v>
      </c>
      <c r="E5" s="22">
        <v>0.1</v>
      </c>
      <c r="F5" s="22" t="s">
        <v>140</v>
      </c>
      <c r="G5" s="22">
        <f>IF((MID(F5,1,3)*1)&lt;=1,MID(F5,1,3)*1,1.1)</f>
        <v>1.1</v>
      </c>
      <c r="H5" s="23">
        <f>(G5*E5)/E5</f>
        <v>1.1</v>
      </c>
      <c r="I5" s="26">
        <f>IF(H5*(E5/C5)&gt;1,1,H5*(E5/C5))</f>
        <v>1</v>
      </c>
    </row>
    <row r="6" customFormat="1" ht="60" customHeight="1" spans="1:9">
      <c r="A6" s="22">
        <v>2</v>
      </c>
      <c r="B6" s="22" t="s">
        <v>121</v>
      </c>
      <c r="C6" s="22">
        <v>0.2</v>
      </c>
      <c r="D6" s="22" t="s">
        <v>170</v>
      </c>
      <c r="E6" s="22">
        <v>0.05</v>
      </c>
      <c r="F6" s="24" t="s">
        <v>171</v>
      </c>
      <c r="G6" s="22">
        <f t="shared" ref="G6:G12" si="0">IF((MID(F6,1,3)*1)&lt;=1,MID(F6,1,3)*1,1.1)</f>
        <v>1</v>
      </c>
      <c r="H6" s="23">
        <f>(G6*E6)/E6</f>
        <v>1</v>
      </c>
      <c r="I6" s="27">
        <f>IF(H6*(E6/C6)+G7*(E7/C6)+G8*(E8/C6)&gt;1,1,H6*(E6/C6)+G7*(E7/C6)+G8*(E8/C6))</f>
        <v>1</v>
      </c>
    </row>
    <row r="7" customFormat="1" ht="60" customHeight="1" spans="1:9">
      <c r="A7" s="22">
        <v>3</v>
      </c>
      <c r="B7" s="22"/>
      <c r="C7" s="22"/>
      <c r="D7" s="22" t="s">
        <v>17</v>
      </c>
      <c r="E7" s="22">
        <v>0.05</v>
      </c>
      <c r="F7" s="24" t="s">
        <v>18</v>
      </c>
      <c r="G7" s="22">
        <f t="shared" si="0"/>
        <v>1.1</v>
      </c>
      <c r="H7" s="23">
        <f t="shared" ref="H7:H12" si="1">(G7*E7)/E7</f>
        <v>1.1</v>
      </c>
      <c r="I7" s="27"/>
    </row>
    <row r="8" customFormat="1" ht="60" customHeight="1" spans="1:9">
      <c r="A8" s="22">
        <v>4</v>
      </c>
      <c r="B8" s="22"/>
      <c r="C8" s="22"/>
      <c r="D8" s="22" t="s">
        <v>172</v>
      </c>
      <c r="E8" s="22">
        <v>0.1</v>
      </c>
      <c r="F8" s="24" t="s">
        <v>173</v>
      </c>
      <c r="G8" s="22">
        <f t="shared" si="0"/>
        <v>1.1</v>
      </c>
      <c r="H8" s="23">
        <f t="shared" si="1"/>
        <v>1.1</v>
      </c>
      <c r="I8" s="27"/>
    </row>
    <row r="9" customFormat="1" ht="60" customHeight="1" spans="1:9">
      <c r="A9" s="22">
        <v>5</v>
      </c>
      <c r="B9" s="22" t="s">
        <v>174</v>
      </c>
      <c r="C9" s="22">
        <v>0.2</v>
      </c>
      <c r="D9" s="22" t="s">
        <v>175</v>
      </c>
      <c r="E9" s="22">
        <v>0.1</v>
      </c>
      <c r="F9" s="24" t="s">
        <v>176</v>
      </c>
      <c r="G9" s="22">
        <f t="shared" si="0"/>
        <v>0.4</v>
      </c>
      <c r="H9" s="23">
        <f t="shared" si="1"/>
        <v>0.4</v>
      </c>
      <c r="I9" s="28">
        <f>IF(H9*(E9/C9)+G10*(E10/C9)&gt;1,1,H9*(E9/C9)+G10*(E10/C9))</f>
        <v>0.7</v>
      </c>
    </row>
    <row r="10" customFormat="1" ht="60" customHeight="1" spans="1:9">
      <c r="A10" s="22">
        <v>6</v>
      </c>
      <c r="B10" s="22"/>
      <c r="C10" s="22"/>
      <c r="D10" s="22" t="s">
        <v>177</v>
      </c>
      <c r="E10" s="22">
        <v>0.1</v>
      </c>
      <c r="F10" s="24" t="s">
        <v>178</v>
      </c>
      <c r="G10" s="22">
        <f t="shared" si="0"/>
        <v>1</v>
      </c>
      <c r="H10" s="23">
        <f t="shared" si="1"/>
        <v>1</v>
      </c>
      <c r="I10" s="29"/>
    </row>
    <row r="11" customFormat="1" ht="60" customHeight="1" spans="1:9">
      <c r="A11" s="22">
        <v>7</v>
      </c>
      <c r="B11" s="22" t="s">
        <v>179</v>
      </c>
      <c r="C11" s="22">
        <v>0.5</v>
      </c>
      <c r="D11" s="22" t="s">
        <v>180</v>
      </c>
      <c r="E11" s="22">
        <v>0.4</v>
      </c>
      <c r="F11" s="24" t="s">
        <v>181</v>
      </c>
      <c r="G11" s="22">
        <f t="shared" si="0"/>
        <v>1.1</v>
      </c>
      <c r="H11" s="23">
        <f t="shared" si="1"/>
        <v>1.1</v>
      </c>
      <c r="I11" s="27">
        <f>IF(H11*(E11/C11)+G12*(E12/C11)&gt;1,1,H11*(E11/C11)+G12*(E12/C11))</f>
        <v>1</v>
      </c>
    </row>
    <row r="12" customFormat="1" ht="60" customHeight="1" spans="1:9">
      <c r="A12" s="22">
        <v>8</v>
      </c>
      <c r="B12" s="22"/>
      <c r="C12" s="22"/>
      <c r="D12" s="22" t="s">
        <v>31</v>
      </c>
      <c r="E12" s="22">
        <v>0.1</v>
      </c>
      <c r="F12" s="24" t="s">
        <v>182</v>
      </c>
      <c r="G12" s="22">
        <f t="shared" si="0"/>
        <v>1</v>
      </c>
      <c r="H12" s="23">
        <f t="shared" si="1"/>
        <v>1</v>
      </c>
      <c r="I12" s="27"/>
    </row>
    <row r="13" customFormat="1" ht="60" customHeight="1" spans="1:9">
      <c r="A13" s="25">
        <v>9</v>
      </c>
      <c r="B13" s="18" t="s">
        <v>69</v>
      </c>
      <c r="C13" s="18"/>
      <c r="D13" s="18"/>
      <c r="E13" s="18"/>
      <c r="F13" s="18"/>
      <c r="G13" s="18"/>
      <c r="H13" s="18"/>
      <c r="I13" s="30">
        <f>I5*C5+I6*C6+I9*C9+I11*C11</f>
        <v>0.94</v>
      </c>
    </row>
  </sheetData>
  <mergeCells count="22">
    <mergeCell ref="A1:I1"/>
    <mergeCell ref="B2:C2"/>
    <mergeCell ref="D2:E2"/>
    <mergeCell ref="B13:H13"/>
    <mergeCell ref="A2:A4"/>
    <mergeCell ref="B3:B4"/>
    <mergeCell ref="B6:B8"/>
    <mergeCell ref="B9:B10"/>
    <mergeCell ref="B11:B12"/>
    <mergeCell ref="C3:C4"/>
    <mergeCell ref="C6:C8"/>
    <mergeCell ref="C9:C10"/>
    <mergeCell ref="C11:C12"/>
    <mergeCell ref="D3:D4"/>
    <mergeCell ref="E3:E4"/>
    <mergeCell ref="F2:F4"/>
    <mergeCell ref="G2:G4"/>
    <mergeCell ref="H2:H4"/>
    <mergeCell ref="I2:I4"/>
    <mergeCell ref="I6:I8"/>
    <mergeCell ref="I9:I10"/>
    <mergeCell ref="I11:I12"/>
  </mergeCells>
  <dataValidations count="8">
    <dataValidation type="list" allowBlank="1" showInputMessage="1" showErrorMessage="1" sqref="F5">
      <formula1>"1.1分：直升机/无人机物料吊运、机器狼、索道自动上下料装置、遥控索道牵引机、重型索道、多地形多功能运输车、电动山地双轨运输车、塔材运输车、步履式多功能作业车等新型先进装备,1.0分：履带/轮胎式运输车、轻型卡车、自卸汽车、窄轨履带运输车、水陆两用运输设备、沼泽钢轮车、轨道运输车、索道运输、组合式货运索道、临时路面铺收机,0.8分：低速货车、农用车、三轮汽车、,0.4分：机械+马帮运输,0.0分：人力运输/其它"</formula1>
    </dataValidation>
    <dataValidation type="list" allowBlank="1" showInputMessage="1" showErrorMessage="1" sqref="F9">
      <formula1>"1.1分：直升机及配套工具、无人机、钻孔立杆一体机、全地形起重机、越野轮胎起重机、履带式电建起重机,1.0分：履带/轮胎/汽车式起重机、车载起重机（随车吊）等起重机械,0.4分：落地摇/平臂抱杆、抱杆+双卷筒绞磨（拉线塔）、悬浮抱杆、铝合金三脚架立杆机,0.0分：人工组立/其他"</formula1>
    </dataValidation>
    <dataValidation type="list" allowBlank="1" showInputMessage="1" showErrorMessage="1" sqref="F6">
      <formula1>"1.1分：挖掘机等小型化、集成化装备、钻孔立杆一体机、分体式钻孔机（可用索道运输）、轮步式作业平台、、旋挖钻机配磨牙钻筒、模块化山地微型桩钻机、多功能模块化智能挖孔机等集成化新型先进装备,1.0分：分体式钻孔机、旋挖钻机、螺旋钻机、螺旋锚钻机、岩石锚杆钻机、挖掘机或（挖掘机+辅助排水设备）、静压打桩机、冲孔钻机、深基坑一体机、履带式液压钻机,0.8分：机械洛阳铲、回转钻机、磨盘钻机、水磨钻、岩石开裂机、一体化开挖设备、冲孔打桩机、空压机,0.4分：风镐、爆破、二氧化碳致裂管,0.0分：人工/其他"</formula1>
    </dataValidation>
    <dataValidation type="list" allowBlank="1" showInputMessage="1" showErrorMessage="1" sqref="F11">
      <formula1>"1.1分：电动葫芦、开关自动安装机器人等先进设备。,1.0分：汽车式起重机、车载起重机（随车吊）、高空作业车,0.8分：链条葫芦、电动扳手、滑轮组、棘轮扳手,0.0分：人工拉升/其他"</formula1>
    </dataValidation>
    <dataValidation type="list" allowBlank="1" showInputMessage="1" showErrorMessage="1" sqref="F7">
      <formula1>"1.1分：新型混凝土拌制、运输装备等先进装备,1.0分：灌式运输车、混凝土泵车 、混凝土输送泵,0.8分：小型商混机械运输车（除罐式外）、自卸运输车、小型搅拌机、自落式搅拌机、强制式搅拌机,0.0分：人工搅拌、浇筑/其他"</formula1>
    </dataValidation>
    <dataValidation type="list" allowBlank="1" showInputMessage="1" showErrorMessage="1" sqref="F8">
      <formula1>"1.1分：钻孔立杆一体机、接地装置电动压接机、专用接地挖掘机等先进设备,1.0分：挖掘机、路面切割机、电镐、电焊机、折弯机、热熔机、发电机,0.0分：人工开挖"</formula1>
    </dataValidation>
    <dataValidation type="list" allowBlank="1" showInputMessage="1" showErrorMessage="1" sqref="F12">
      <formula1>"1.1分：智能化导地线自动压接机等先进装备,1.0分：全自动压接机、半自动液压压接机,0.8分：电动压接机、电动剥线器,0.4分：手动压接机、手动剥线器/其他"</formula1>
    </dataValidation>
    <dataValidation type="list" allowBlank="1" showInputMessage="1" showErrorMessage="1" sqref="F10">
      <formula1>"1.1分：电动葫芦、横担安装机器人等先进设备,1.0分：高空作业车、电动液压冲孔机,0.8分：电动扳手、手动液压冲孔机、棘轮扳手、手扳葫芦,0.0分：人工/其他"</formula1>
    </dataValidation>
  </dataValidations>
  <pageMargins left="0.75" right="0.75" top="1" bottom="1" header="0.5" footer="0.5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2"/>
  <sheetViews>
    <sheetView tabSelected="1" view="pageBreakPreview" zoomScaleNormal="100" topLeftCell="E1" workbookViewId="0">
      <selection activeCell="M10" sqref="M10"/>
    </sheetView>
  </sheetViews>
  <sheetFormatPr defaultColWidth="9.81666666666667" defaultRowHeight="13.5"/>
  <cols>
    <col min="2" max="2" width="14.725" customWidth="1"/>
    <col min="3" max="3" width="5.875" customWidth="1"/>
    <col min="4" max="4" width="16.775" customWidth="1"/>
    <col min="5" max="5" width="5.875" customWidth="1"/>
    <col min="6" max="6" width="53.825" style="1" customWidth="1"/>
    <col min="7" max="7" width="9.81666666666667" style="2"/>
    <col min="8" max="8" width="12.9666666666667" customWidth="1"/>
    <col min="9" max="9" width="9.41666666666667" customWidth="1"/>
    <col min="10" max="10" width="29.1833333333333" customWidth="1"/>
  </cols>
  <sheetData>
    <row r="1" ht="18.75" spans="1:9">
      <c r="A1" s="3" t="s">
        <v>183</v>
      </c>
      <c r="B1" s="3"/>
      <c r="C1" s="3"/>
      <c r="D1" s="3"/>
      <c r="E1" s="3"/>
      <c r="F1" s="3"/>
      <c r="G1" s="3"/>
      <c r="H1" s="3"/>
      <c r="I1" s="3"/>
    </row>
    <row r="2" customFormat="1" spans="1:9">
      <c r="A2" s="4" t="s">
        <v>1</v>
      </c>
      <c r="B2" s="4" t="s">
        <v>2</v>
      </c>
      <c r="C2" s="4"/>
      <c r="D2" s="4" t="s">
        <v>3</v>
      </c>
      <c r="E2" s="4"/>
      <c r="F2" s="5" t="s">
        <v>4</v>
      </c>
      <c r="G2" s="5" t="s">
        <v>5</v>
      </c>
      <c r="H2" s="6" t="s">
        <v>6</v>
      </c>
      <c r="I2" s="4" t="s">
        <v>7</v>
      </c>
    </row>
    <row r="3" customFormat="1" spans="1:9">
      <c r="A3" s="4"/>
      <c r="B3" s="4" t="s">
        <v>8</v>
      </c>
      <c r="C3" s="4" t="s">
        <v>9</v>
      </c>
      <c r="D3" s="4" t="s">
        <v>8</v>
      </c>
      <c r="E3" s="4" t="s">
        <v>9</v>
      </c>
      <c r="F3" s="7"/>
      <c r="G3" s="7"/>
      <c r="H3" s="8"/>
      <c r="I3" s="4"/>
    </row>
    <row r="4" customFormat="1" spans="1:9">
      <c r="A4" s="5"/>
      <c r="B4" s="5"/>
      <c r="C4" s="5"/>
      <c r="D4" s="5"/>
      <c r="E4" s="5"/>
      <c r="F4" s="7"/>
      <c r="G4" s="7"/>
      <c r="H4" s="8"/>
      <c r="I4" s="4"/>
    </row>
    <row r="5" customFormat="1" spans="1:9">
      <c r="A5" s="9">
        <v>1</v>
      </c>
      <c r="B5" s="9" t="s">
        <v>184</v>
      </c>
      <c r="C5" s="10">
        <v>0.7</v>
      </c>
      <c r="D5" s="9" t="s">
        <v>185</v>
      </c>
      <c r="E5" s="9">
        <v>0.1</v>
      </c>
      <c r="F5" s="11" t="s">
        <v>186</v>
      </c>
      <c r="G5" s="9">
        <f>IF((MID(F5,1,3)*1)&lt;=1,MID(F5,1,3)*1,1.1)</f>
        <v>1.1</v>
      </c>
      <c r="H5" s="12">
        <f t="shared" ref="H5:H11" si="0">(G5*E5)/E5</f>
        <v>1.1</v>
      </c>
      <c r="I5" s="16">
        <f>IF(H5*(E5/C5)+H6*(E6/C5)+H7*(E7/C5)+H8*(E8/C5)+H9*(E9/C5)+H10*(E10/C5)&gt;1,1,H5*(E5/C5)+H6*(E6/C5)+H7*(E7/C5)+H8*(E8/C5)+H9*(E9/C5)+H10*(E10/C5))</f>
        <v>1</v>
      </c>
    </row>
    <row r="6" customFormat="1" spans="1:9">
      <c r="A6" s="9">
        <v>2</v>
      </c>
      <c r="B6" s="9"/>
      <c r="C6" s="13"/>
      <c r="D6" s="9" t="s">
        <v>187</v>
      </c>
      <c r="E6" s="9">
        <v>0.1</v>
      </c>
      <c r="F6" s="11" t="s">
        <v>188</v>
      </c>
      <c r="G6" s="9">
        <f t="shared" ref="G6:G11" si="1">IF((MID(F6,1,3)*1)&lt;=1,MID(F6,1,3)*1,1.1)</f>
        <v>1.1</v>
      </c>
      <c r="H6" s="12">
        <f t="shared" si="0"/>
        <v>1.1</v>
      </c>
      <c r="I6" s="16"/>
    </row>
    <row r="7" customFormat="1" spans="1:9">
      <c r="A7" s="9">
        <v>3</v>
      </c>
      <c r="B7" s="9"/>
      <c r="C7" s="13"/>
      <c r="D7" s="9" t="s">
        <v>189</v>
      </c>
      <c r="E7" s="9">
        <v>0.1</v>
      </c>
      <c r="F7" s="11" t="s">
        <v>190</v>
      </c>
      <c r="G7" s="9">
        <f t="shared" si="1"/>
        <v>1.1</v>
      </c>
      <c r="H7" s="12">
        <f t="shared" si="0"/>
        <v>1.1</v>
      </c>
      <c r="I7" s="16"/>
    </row>
    <row r="8" customFormat="1" ht="91" customHeight="1" spans="1:9">
      <c r="A8" s="9">
        <v>4</v>
      </c>
      <c r="B8" s="9"/>
      <c r="C8" s="13"/>
      <c r="D8" s="9" t="s">
        <v>191</v>
      </c>
      <c r="E8" s="9">
        <v>0.2</v>
      </c>
      <c r="F8" s="11" t="s">
        <v>192</v>
      </c>
      <c r="G8" s="9">
        <f t="shared" si="1"/>
        <v>1.1</v>
      </c>
      <c r="H8" s="12">
        <f t="shared" si="0"/>
        <v>1.1</v>
      </c>
      <c r="I8" s="16"/>
    </row>
    <row r="9" customFormat="1" ht="33" customHeight="1" spans="1:9">
      <c r="A9" s="9">
        <v>5</v>
      </c>
      <c r="B9" s="9"/>
      <c r="C9" s="13"/>
      <c r="D9" s="9" t="s">
        <v>193</v>
      </c>
      <c r="E9" s="9">
        <v>0.1</v>
      </c>
      <c r="F9" s="11" t="s">
        <v>194</v>
      </c>
      <c r="G9" s="9">
        <f t="shared" si="1"/>
        <v>1.1</v>
      </c>
      <c r="H9" s="12">
        <f t="shared" si="0"/>
        <v>1.1</v>
      </c>
      <c r="I9" s="16"/>
    </row>
    <row r="10" customFormat="1" ht="47" customHeight="1" spans="1:9">
      <c r="A10" s="9">
        <v>6</v>
      </c>
      <c r="B10" s="9"/>
      <c r="C10" s="14"/>
      <c r="D10" s="9" t="s">
        <v>195</v>
      </c>
      <c r="E10" s="9">
        <v>0.1</v>
      </c>
      <c r="F10" s="11" t="s">
        <v>196</v>
      </c>
      <c r="G10" s="9">
        <f t="shared" si="1"/>
        <v>1</v>
      </c>
      <c r="H10" s="12">
        <f t="shared" si="0"/>
        <v>1</v>
      </c>
      <c r="I10" s="16"/>
    </row>
    <row r="11" customFormat="1" spans="1:9">
      <c r="A11" s="9">
        <v>7</v>
      </c>
      <c r="B11" s="9" t="s">
        <v>197</v>
      </c>
      <c r="C11" s="10">
        <v>0.3</v>
      </c>
      <c r="D11" s="9" t="s">
        <v>198</v>
      </c>
      <c r="E11" s="9">
        <v>0.3</v>
      </c>
      <c r="F11" s="11" t="s">
        <v>199</v>
      </c>
      <c r="G11" s="9">
        <f t="shared" si="1"/>
        <v>1.1</v>
      </c>
      <c r="H11" s="12">
        <f t="shared" si="0"/>
        <v>1.1</v>
      </c>
      <c r="I11" s="17">
        <f>IF(H11*(E11/C11)&gt;1,1,H11*(E11/C11))</f>
        <v>1</v>
      </c>
    </row>
    <row r="12" customFormat="1" spans="1:9">
      <c r="A12" s="9">
        <v>8</v>
      </c>
      <c r="B12" s="15" t="s">
        <v>69</v>
      </c>
      <c r="C12" s="15"/>
      <c r="D12" s="15"/>
      <c r="E12" s="15"/>
      <c r="F12" s="15"/>
      <c r="G12" s="15"/>
      <c r="H12" s="15"/>
      <c r="I12" s="16">
        <f>I5*C5+I11*C11</f>
        <v>1</v>
      </c>
    </row>
  </sheetData>
  <mergeCells count="16">
    <mergeCell ref="A1:I1"/>
    <mergeCell ref="B2:C2"/>
    <mergeCell ref="D2:E2"/>
    <mergeCell ref="B12:H12"/>
    <mergeCell ref="A2:A4"/>
    <mergeCell ref="B3:B4"/>
    <mergeCell ref="B5:B10"/>
    <mergeCell ref="C3:C4"/>
    <mergeCell ref="C5:C10"/>
    <mergeCell ref="D3:D4"/>
    <mergeCell ref="E3:E4"/>
    <mergeCell ref="F2:F4"/>
    <mergeCell ref="G2:G4"/>
    <mergeCell ref="H2:H4"/>
    <mergeCell ref="I2:I4"/>
    <mergeCell ref="I5:I10"/>
  </mergeCells>
  <dataValidations count="7">
    <dataValidation type="list" allowBlank="1" showInputMessage="1" showErrorMessage="1" sqref="F5">
      <formula1>"1.1分：动力定位船、扫海锚、USBL（水下定位装置）,1.0分：普通作业船、扫海锚。"</formula1>
    </dataValidation>
    <dataValidation type="list" allowBlank="1" showInputMessage="1" showErrorMessage="1" sqref="F10">
      <formula1>"1.0分：吊机+脚手架+手工制作"</formula1>
    </dataValidation>
    <dataValidation type="list" allowBlank="1" showInputMessage="1" showErrorMessage="1" sqref="F6">
      <formula1>"1.1分：自航式敷缆船,1.0分：敷缆驳船,0.9分：平底驳船"</formula1>
    </dataValidation>
    <dataValidation type="list" allowBlank="1" showInputMessage="1" showErrorMessage="1" sqref="F7">
      <formula1>"1.1分：非开挖式穿孔,1.0分：两栖挖掘,0.9分：一般挖掘"</formula1>
    </dataValidation>
    <dataValidation type="list" allowBlank="1" showInputMessage="1" showErrorMessage="1" sqref="F11">
      <formula1>"1.1分：切割挖槽水下机器人,1.0分：大功率水力冲埋式埋设犁,0.9分：拖拽式埋设犁"</formula1>
    </dataValidation>
    <dataValidation type="list" allowBlank="1" showInputMessage="1" showErrorMessage="1" sqref="F8">
      <formula1>"1.1分：敷缆船（带DP2及以上动力定位）、埋设犁、USBL、应力监测装置、监测装置、海底电缆敷设布缆机,1.0分：敷缆船（带DP1及以上动力定位）、埋设犁、USBL、应力监测装置、监测装置、海底电缆敷设布缆机,0.9分：敷缆船（无动力定位）、拖轮、埋设犁、USBL、应力监测装置、监测装置、海底电缆敷设布缆机"</formula1>
    </dataValidation>
    <dataValidation type="list" allowBlank="1" showInputMessage="1" showErrorMessage="1" sqref="F9">
      <formula1>"1.1分：多波束检测系统、水下机器人、动力定位船、管线仪"</formula1>
    </dataValidation>
  </dataValidations>
  <pageMargins left="0.75" right="0.75" top="1" bottom="1" header="0.5" footer="0.5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附件1  架空线路工程</vt:lpstr>
      <vt:lpstr>附件2-1   变电工程机械化评价表</vt:lpstr>
      <vt:lpstr>附件2-2  变电工程装配化率评价表</vt:lpstr>
      <vt:lpstr>附件3  电缆工程</vt:lpstr>
      <vt:lpstr>附件4-1  配电房（含箱式变、户外开关箱）</vt:lpstr>
      <vt:lpstr>附件4-5  纯自动化工程-（柱上开关）</vt:lpstr>
      <vt:lpstr>附件5  海缆工程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方雨萍</cp:lastModifiedBy>
  <dcterms:created xsi:type="dcterms:W3CDTF">2023-05-12T11:15:00Z</dcterms:created>
  <dcterms:modified xsi:type="dcterms:W3CDTF">2026-05-20T02:36:30Z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97B596CCCF1B43B6AF729D5A7874612A_13</vt:lpwstr>
  </property>
</Properties>
</file>